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PRESUPUESTO_SERVIDOR\INFORME DE EJECUCION 2019\DICIEMBRE\"/>
    </mc:Choice>
  </mc:AlternateContent>
  <bookViews>
    <workbookView xWindow="0" yWindow="0" windowWidth="28800" windowHeight="11535" tabRatio="876"/>
  </bookViews>
  <sheets>
    <sheet name="Ingresos" sheetId="9" r:id="rId1"/>
    <sheet name="Funcionamiento" sheetId="24" r:id="rId2"/>
    <sheet name="Inversiones" sheetId="23" r:id="rId3"/>
  </sheets>
  <externalReferences>
    <externalReference r:id="rId4"/>
  </externalReferences>
  <definedNames>
    <definedName name="a">"$#REF!.$CP$1"</definedName>
    <definedName name="_xlnm.Print_Area" localSheetId="1">Funcionamiento!$B$1:$O$231</definedName>
    <definedName name="_xlnm.Print_Area" localSheetId="0">Ingresos!$A$1:$I$31</definedName>
    <definedName name="_xlnm.Print_Area" localSheetId="2">Inversiones!$A$2:$N$99</definedName>
    <definedName name="Excel_BuiltIn_Print_Area_12_1">"$#REF!.$A$1:$L$197"</definedName>
    <definedName name="Excel_BuiltIn_Print_Area_12_1_1">"$#REF!.$B$10:$L$205"</definedName>
    <definedName name="Excel_BuiltIn_Print_Area_12_1_1_1">"$#REF!.$B$10:$L$206"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8_1">[1]INGRESOS!$A$6:$I$39</definedName>
    <definedName name="Excel_BuiltIn_Print_Area_8_1_1">[1]INGRESOS!$A$6:$I$40</definedName>
    <definedName name="Excel_BuiltIn_Print_Area_9_1">#REF!</definedName>
    <definedName name="Excel_BuiltIn_Print_Titles_11">#REF!</definedName>
    <definedName name="Excel_BuiltIn_Print_Titles_12_1">"$#REF!.$A$1:$B$65535;$#REF!.$A$1:$IV$7"</definedName>
    <definedName name="Excel_BuiltIn_Print_Titles_7">#REF!</definedName>
    <definedName name="Excel_BuiltIn_Print_Titles_7_1">"$cuadro_A_1.$#REF!$#REF!:$#REF!$#REF!"</definedName>
    <definedName name="Excel_BuiltIn_Print_Titles_8_1">[1]INGRESOS!$A$1:$IV$5</definedName>
    <definedName name="_xlnm.Print_Titles" localSheetId="1">Funcionamiento!$6:$8</definedName>
  </definedNames>
  <calcPr calcId="152511"/>
</workbook>
</file>

<file path=xl/calcChain.xml><?xml version="1.0" encoding="utf-8"?>
<calcChain xmlns="http://schemas.openxmlformats.org/spreadsheetml/2006/main">
  <c r="J18" i="9" l="1"/>
  <c r="J12" i="9"/>
  <c r="F12" i="9" s="1"/>
  <c r="E15" i="9"/>
  <c r="K92" i="23"/>
  <c r="K89" i="23" s="1"/>
  <c r="F92" i="23" l="1"/>
  <c r="F90" i="23"/>
  <c r="F89" i="23"/>
  <c r="F87" i="23"/>
  <c r="F85" i="23"/>
  <c r="F83" i="23"/>
  <c r="F82" i="23"/>
  <c r="F80" i="23"/>
  <c r="F64" i="23"/>
  <c r="F63" i="23"/>
  <c r="F57" i="23"/>
  <c r="F52" i="23"/>
  <c r="F46" i="23"/>
  <c r="F44" i="23"/>
  <c r="F42" i="23"/>
  <c r="F33" i="23" s="1"/>
  <c r="F37" i="23"/>
  <c r="F34" i="23"/>
  <c r="F28" i="23"/>
  <c r="F26" i="23"/>
  <c r="F23" i="23"/>
  <c r="F21" i="23"/>
  <c r="F19" i="23"/>
  <c r="F18" i="23" s="1"/>
  <c r="F13" i="23"/>
  <c r="F10" i="23"/>
  <c r="F9" i="23"/>
  <c r="Q216" i="24"/>
  <c r="Q51" i="24"/>
  <c r="Q201" i="24"/>
  <c r="I43" i="24"/>
  <c r="I42" i="24"/>
  <c r="I41" i="24"/>
  <c r="I40" i="24"/>
  <c r="I39" i="24"/>
  <c r="I38" i="24"/>
  <c r="I35" i="24"/>
  <c r="I34" i="24"/>
  <c r="I33" i="24"/>
  <c r="I32" i="24"/>
  <c r="I31" i="24"/>
  <c r="I30" i="24"/>
  <c r="I28" i="24"/>
  <c r="I27" i="24"/>
  <c r="I26" i="24"/>
  <c r="F103" i="24"/>
  <c r="G101" i="24"/>
  <c r="K57" i="23" l="1"/>
  <c r="J57" i="23"/>
  <c r="I57" i="23"/>
  <c r="H57" i="23"/>
  <c r="G57" i="23"/>
  <c r="E57" i="23"/>
  <c r="L61" i="23"/>
  <c r="G189" i="24" l="1"/>
  <c r="F189" i="24"/>
  <c r="F213" i="24" l="1"/>
  <c r="F212" i="24"/>
  <c r="E13" i="24"/>
  <c r="F13" i="24" s="1"/>
  <c r="E190" i="24"/>
  <c r="E212" i="24"/>
  <c r="E151" i="24" l="1"/>
  <c r="H101" i="24"/>
  <c r="G90" i="24"/>
  <c r="L32" i="23" l="1"/>
  <c r="J28" i="23"/>
  <c r="I28" i="23"/>
  <c r="H28" i="23"/>
  <c r="G28" i="23"/>
  <c r="E28" i="23"/>
  <c r="K87" i="23" l="1"/>
  <c r="K44" i="23"/>
  <c r="J44" i="23"/>
  <c r="I44" i="23"/>
  <c r="H44" i="23"/>
  <c r="G44" i="23"/>
  <c r="E44" i="23"/>
  <c r="E46" i="23"/>
  <c r="K46" i="23"/>
  <c r="L50" i="23"/>
  <c r="J46" i="23"/>
  <c r="I46" i="23"/>
  <c r="H46" i="23"/>
  <c r="G46" i="23"/>
  <c r="L47" i="23"/>
  <c r="L46" i="23" l="1"/>
  <c r="G82" i="23" l="1"/>
  <c r="L88" i="23"/>
  <c r="L87" i="23"/>
  <c r="E87" i="23"/>
  <c r="I159" i="24"/>
  <c r="I158" i="24"/>
  <c r="I157" i="24"/>
  <c r="I156" i="24"/>
  <c r="I155" i="24"/>
  <c r="I154" i="24"/>
  <c r="I150" i="24"/>
  <c r="I149" i="24"/>
  <c r="I148" i="24"/>
  <c r="I201" i="24"/>
  <c r="I144" i="24" l="1"/>
  <c r="I143" i="24"/>
  <c r="I142" i="24"/>
  <c r="I141" i="24"/>
  <c r="I140" i="24"/>
  <c r="I139" i="24"/>
  <c r="M201" i="24" l="1"/>
  <c r="M167" i="24"/>
  <c r="M156" i="24"/>
  <c r="M154" i="24"/>
  <c r="M150" i="24"/>
  <c r="M149" i="24"/>
  <c r="M144" i="24"/>
  <c r="M142" i="24"/>
  <c r="M141" i="24"/>
  <c r="M140" i="24"/>
  <c r="M139" i="24"/>
  <c r="M99" i="24"/>
  <c r="M98" i="24"/>
  <c r="M41" i="24"/>
  <c r="M28" i="24"/>
  <c r="M27" i="24"/>
  <c r="M26" i="24"/>
  <c r="I191" i="24" l="1"/>
  <c r="M191" i="24" s="1"/>
  <c r="I190" i="24"/>
  <c r="M190" i="24" s="1"/>
  <c r="I189" i="24"/>
  <c r="M189" i="24" s="1"/>
  <c r="I188" i="24"/>
  <c r="M188" i="24" s="1"/>
  <c r="I187" i="24"/>
  <c r="M187" i="24" s="1"/>
  <c r="I186" i="24"/>
  <c r="M186" i="24" s="1"/>
  <c r="I185" i="24"/>
  <c r="M185" i="24" s="1"/>
  <c r="I127" i="24"/>
  <c r="M127" i="24" s="1"/>
  <c r="I126" i="24"/>
  <c r="M126" i="24" s="1"/>
  <c r="I125" i="24"/>
  <c r="M125" i="24" s="1"/>
  <c r="I124" i="24"/>
  <c r="M124" i="24" s="1"/>
  <c r="I117" i="24"/>
  <c r="M117" i="24" s="1"/>
  <c r="I116" i="24"/>
  <c r="M116" i="24" s="1"/>
  <c r="I115" i="24"/>
  <c r="M115" i="24" s="1"/>
  <c r="I114" i="24"/>
  <c r="M114" i="24" s="1"/>
  <c r="I113" i="24"/>
  <c r="M113" i="24" s="1"/>
  <c r="I111" i="24"/>
  <c r="M111" i="24" s="1"/>
  <c r="I110" i="24"/>
  <c r="M110" i="24" s="1"/>
  <c r="I109" i="24"/>
  <c r="M109" i="24" s="1"/>
  <c r="I108" i="24"/>
  <c r="M108" i="24" s="1"/>
  <c r="I107" i="24"/>
  <c r="M107" i="24" s="1"/>
  <c r="I104" i="24"/>
  <c r="M104" i="24" s="1"/>
  <c r="I103" i="24"/>
  <c r="M103" i="24" s="1"/>
  <c r="I102" i="24"/>
  <c r="G136" i="24"/>
  <c r="M102" i="24" l="1"/>
  <c r="I101" i="24"/>
  <c r="K83" i="23" l="1"/>
  <c r="K85" i="23"/>
  <c r="K82" i="23" s="1"/>
  <c r="K10" i="23"/>
  <c r="H136" i="24"/>
  <c r="I152" i="24"/>
  <c r="M152" i="24" s="1"/>
  <c r="I79" i="24"/>
  <c r="M79" i="24" s="1"/>
  <c r="I69" i="24"/>
  <c r="M69" i="24" s="1"/>
  <c r="M43" i="24"/>
  <c r="M42" i="24"/>
  <c r="M38" i="24"/>
  <c r="M32" i="24"/>
  <c r="I19" i="24"/>
  <c r="I18" i="24"/>
  <c r="M18" i="24" s="1"/>
  <c r="I15" i="24"/>
  <c r="M15" i="24" s="1"/>
  <c r="I13" i="24"/>
  <c r="M13" i="24" s="1"/>
  <c r="I230" i="24"/>
  <c r="M230" i="24" s="1"/>
  <c r="I229" i="24"/>
  <c r="M229" i="24" s="1"/>
  <c r="I228" i="24"/>
  <c r="M228" i="24" s="1"/>
  <c r="M226" i="24"/>
  <c r="I225" i="24"/>
  <c r="M225" i="24" s="1"/>
  <c r="I223" i="24"/>
  <c r="M223" i="24" s="1"/>
  <c r="I222" i="24"/>
  <c r="M222" i="24" s="1"/>
  <c r="I221" i="24"/>
  <c r="M221" i="24" s="1"/>
  <c r="I220" i="24"/>
  <c r="M220" i="24" s="1"/>
  <c r="I218" i="24"/>
  <c r="I216" i="24"/>
  <c r="I215" i="24"/>
  <c r="I213" i="24"/>
  <c r="M213" i="24" s="1"/>
  <c r="I212" i="24"/>
  <c r="M212" i="24" s="1"/>
  <c r="I211" i="24"/>
  <c r="M211" i="24" s="1"/>
  <c r="I210" i="24"/>
  <c r="M210" i="24" s="1"/>
  <c r="I209" i="24"/>
  <c r="M209" i="24" s="1"/>
  <c r="I207" i="24"/>
  <c r="I204" i="24"/>
  <c r="M204" i="24" s="1"/>
  <c r="I203" i="24"/>
  <c r="I200" i="24"/>
  <c r="I184" i="24"/>
  <c r="M184" i="24" s="1"/>
  <c r="I183" i="24"/>
  <c r="M183" i="24" s="1"/>
  <c r="I182" i="24"/>
  <c r="M182" i="24" s="1"/>
  <c r="I181" i="24"/>
  <c r="M181" i="24" s="1"/>
  <c r="I180" i="24"/>
  <c r="M180" i="24" s="1"/>
  <c r="I179" i="24"/>
  <c r="M179" i="24" s="1"/>
  <c r="I178" i="24"/>
  <c r="M178" i="24" s="1"/>
  <c r="I177" i="24"/>
  <c r="M177" i="24" s="1"/>
  <c r="I176" i="24"/>
  <c r="M176" i="24" s="1"/>
  <c r="I175" i="24"/>
  <c r="M175" i="24" s="1"/>
  <c r="I174" i="24"/>
  <c r="M174" i="24" s="1"/>
  <c r="I173" i="24"/>
  <c r="I171" i="24"/>
  <c r="M171" i="24" s="1"/>
  <c r="I170" i="24"/>
  <c r="M170" i="24" s="1"/>
  <c r="I169" i="24"/>
  <c r="M169" i="24" s="1"/>
  <c r="I168" i="24"/>
  <c r="M168" i="24" s="1"/>
  <c r="I166" i="24"/>
  <c r="M166" i="24" s="1"/>
  <c r="I165" i="24"/>
  <c r="M165" i="24" s="1"/>
  <c r="I164" i="24"/>
  <c r="M164" i="24" s="1"/>
  <c r="I163" i="24"/>
  <c r="M163" i="24" s="1"/>
  <c r="I161" i="24"/>
  <c r="M161" i="24" s="1"/>
  <c r="I160" i="24"/>
  <c r="M160" i="24" s="1"/>
  <c r="M159" i="24"/>
  <c r="M158" i="24"/>
  <c r="M157" i="24"/>
  <c r="M155" i="24"/>
  <c r="I153" i="24"/>
  <c r="M153" i="24" s="1"/>
  <c r="M148" i="24"/>
  <c r="I147" i="24"/>
  <c r="M147" i="24" s="1"/>
  <c r="I146" i="24"/>
  <c r="M146" i="24" s="1"/>
  <c r="M143" i="24"/>
  <c r="I138" i="24"/>
  <c r="M138" i="24" s="1"/>
  <c r="I137" i="24"/>
  <c r="M137" i="24" s="1"/>
  <c r="I135" i="24"/>
  <c r="M135" i="24" s="1"/>
  <c r="I134" i="24"/>
  <c r="M134" i="24" s="1"/>
  <c r="I133" i="24"/>
  <c r="M133" i="24" s="1"/>
  <c r="I132" i="24"/>
  <c r="M132" i="24" s="1"/>
  <c r="I131" i="24"/>
  <c r="M131" i="24" s="1"/>
  <c r="I130" i="24"/>
  <c r="M130" i="24" s="1"/>
  <c r="I128" i="24"/>
  <c r="M128" i="24" s="1"/>
  <c r="I105" i="24"/>
  <c r="M105" i="24" s="1"/>
  <c r="I97" i="24"/>
  <c r="M97" i="24" s="1"/>
  <c r="I96" i="24"/>
  <c r="M96" i="24" s="1"/>
  <c r="I95" i="24"/>
  <c r="M95" i="24" s="1"/>
  <c r="I94" i="24"/>
  <c r="M94" i="24" s="1"/>
  <c r="I93" i="24"/>
  <c r="M93" i="24" s="1"/>
  <c r="I92" i="24"/>
  <c r="M92" i="24" s="1"/>
  <c r="I91" i="24"/>
  <c r="I89" i="24"/>
  <c r="M89" i="24" s="1"/>
  <c r="I88" i="24"/>
  <c r="M88" i="24" s="1"/>
  <c r="I87" i="24"/>
  <c r="M87" i="24" s="1"/>
  <c r="I86" i="24"/>
  <c r="M86" i="24" s="1"/>
  <c r="I85" i="24"/>
  <c r="M85" i="24" s="1"/>
  <c r="I84" i="24"/>
  <c r="M84" i="24" s="1"/>
  <c r="I82" i="24"/>
  <c r="M82" i="24" s="1"/>
  <c r="I81" i="24"/>
  <c r="M81" i="24" s="1"/>
  <c r="I78" i="24"/>
  <c r="M78" i="24" s="1"/>
  <c r="I77" i="24"/>
  <c r="M77" i="24" s="1"/>
  <c r="I76" i="24"/>
  <c r="M76" i="24" s="1"/>
  <c r="I75" i="24"/>
  <c r="M75" i="24" s="1"/>
  <c r="I74" i="24"/>
  <c r="M74" i="24" s="1"/>
  <c r="I72" i="24"/>
  <c r="M72" i="24" s="1"/>
  <c r="I71" i="24"/>
  <c r="M71" i="24" s="1"/>
  <c r="I70" i="24"/>
  <c r="M70" i="24" s="1"/>
  <c r="I67" i="24"/>
  <c r="M67" i="24" s="1"/>
  <c r="I66" i="24"/>
  <c r="M66" i="24" s="1"/>
  <c r="I65" i="24"/>
  <c r="M65" i="24" s="1"/>
  <c r="I55" i="24"/>
  <c r="M55" i="24" s="1"/>
  <c r="I54" i="24"/>
  <c r="M54" i="24" s="1"/>
  <c r="I52" i="24"/>
  <c r="M52" i="24" s="1"/>
  <c r="I51" i="24"/>
  <c r="M51" i="24" s="1"/>
  <c r="I50" i="24"/>
  <c r="M50" i="24" s="1"/>
  <c r="I49" i="24"/>
  <c r="M49" i="24" s="1"/>
  <c r="I48" i="24"/>
  <c r="M48" i="24" s="1"/>
  <c r="I47" i="24"/>
  <c r="M47" i="24" s="1"/>
  <c r="I46" i="24"/>
  <c r="M46" i="24" s="1"/>
  <c r="I45" i="24"/>
  <c r="M45" i="24" s="1"/>
  <c r="M39" i="24"/>
  <c r="M35" i="24"/>
  <c r="M34" i="24"/>
  <c r="M33" i="24"/>
  <c r="M31" i="24"/>
  <c r="M30" i="24"/>
  <c r="I24" i="24"/>
  <c r="M24" i="24" s="1"/>
  <c r="I23" i="24"/>
  <c r="M23" i="24" s="1"/>
  <c r="I22" i="24"/>
  <c r="M22" i="24" s="1"/>
  <c r="I21" i="24"/>
  <c r="M21" i="24" s="1"/>
  <c r="I16" i="24"/>
  <c r="M16" i="24" s="1"/>
  <c r="I12" i="24"/>
  <c r="M12" i="24" s="1"/>
  <c r="I11" i="24"/>
  <c r="M11" i="24" s="1"/>
  <c r="M173" i="24" l="1"/>
  <c r="I172" i="24"/>
  <c r="M215" i="24"/>
  <c r="I214" i="24"/>
  <c r="M91" i="24"/>
  <c r="I90" i="24"/>
  <c r="I202" i="24"/>
  <c r="I199" i="24" s="1"/>
  <c r="M203" i="24"/>
  <c r="M216" i="24"/>
  <c r="I206" i="24"/>
  <c r="M207" i="24"/>
  <c r="I217" i="24"/>
  <c r="M218" i="24"/>
  <c r="M19" i="24"/>
  <c r="I145" i="24"/>
  <c r="I64" i="24"/>
  <c r="I219" i="24"/>
  <c r="I129" i="24"/>
  <c r="I162" i="24"/>
  <c r="I80" i="24"/>
  <c r="I112" i="24"/>
  <c r="I73" i="24"/>
  <c r="I53" i="24"/>
  <c r="I17" i="24"/>
  <c r="I14" i="24" s="1"/>
  <c r="M40" i="24"/>
  <c r="I20" i="24"/>
  <c r="I44" i="24"/>
  <c r="I10" i="24"/>
  <c r="I68" i="24"/>
  <c r="I83" i="24"/>
  <c r="I106" i="24"/>
  <c r="I123" i="24"/>
  <c r="I136" i="24"/>
  <c r="M136" i="24" s="1"/>
  <c r="I151" i="24"/>
  <c r="I208" i="24"/>
  <c r="I100" i="24" l="1"/>
  <c r="M17" i="24"/>
  <c r="L77" i="23" l="1"/>
  <c r="L76" i="23"/>
  <c r="L75" i="23"/>
  <c r="L73" i="23"/>
  <c r="L72" i="23"/>
  <c r="L71" i="23"/>
  <c r="L70" i="23"/>
  <c r="L68" i="23"/>
  <c r="L67" i="23"/>
  <c r="L66" i="23"/>
  <c r="L65" i="23"/>
  <c r="L62" i="23"/>
  <c r="L60" i="23"/>
  <c r="L59" i="23"/>
  <c r="L55" i="23"/>
  <c r="L53" i="23"/>
  <c r="L49" i="23"/>
  <c r="L48" i="23"/>
  <c r="L43" i="23"/>
  <c r="L24" i="23"/>
  <c r="L20" i="23"/>
  <c r="J28" i="24"/>
  <c r="J27" i="24"/>
  <c r="J26" i="24"/>
  <c r="J167" i="24"/>
  <c r="J103" i="24"/>
  <c r="J99" i="24"/>
  <c r="J98" i="24"/>
  <c r="J41" i="24"/>
  <c r="K95" i="23"/>
  <c r="L95" i="23" s="1"/>
  <c r="L93" i="23"/>
  <c r="K91" i="23"/>
  <c r="L91" i="23" s="1"/>
  <c r="L86" i="23"/>
  <c r="L84" i="23"/>
  <c r="L81" i="23"/>
  <c r="L79" i="23"/>
  <c r="K78" i="23"/>
  <c r="L78" i="23" s="1"/>
  <c r="K74" i="23"/>
  <c r="L74" i="23" s="1"/>
  <c r="K58" i="23"/>
  <c r="L58" i="23" s="1"/>
  <c r="K56" i="23"/>
  <c r="L54" i="23"/>
  <c r="L51" i="23"/>
  <c r="L45" i="23"/>
  <c r="L44" i="23" s="1"/>
  <c r="K41" i="23"/>
  <c r="L41" i="23" s="1"/>
  <c r="K40" i="23"/>
  <c r="L40" i="23" s="1"/>
  <c r="K39" i="23"/>
  <c r="L39" i="23" s="1"/>
  <c r="K38" i="23"/>
  <c r="L38" i="23" s="1"/>
  <c r="K37" i="23"/>
  <c r="L37" i="23" s="1"/>
  <c r="K36" i="23"/>
  <c r="L36" i="23" s="1"/>
  <c r="K35" i="23"/>
  <c r="L35" i="23" s="1"/>
  <c r="K34" i="23"/>
  <c r="L34" i="23" s="1"/>
  <c r="K31" i="23"/>
  <c r="L31" i="23" s="1"/>
  <c r="K30" i="23"/>
  <c r="L30" i="23" s="1"/>
  <c r="K29" i="23"/>
  <c r="K28" i="23" s="1"/>
  <c r="K27" i="23"/>
  <c r="L27" i="23" s="1"/>
  <c r="K17" i="23"/>
  <c r="L17" i="23" s="1"/>
  <c r="K16" i="23"/>
  <c r="L16" i="23" s="1"/>
  <c r="K15" i="23"/>
  <c r="L15" i="23" s="1"/>
  <c r="K14" i="23"/>
  <c r="L14" i="23" s="1"/>
  <c r="L11" i="23"/>
  <c r="L10" i="23" s="1"/>
  <c r="H94" i="23"/>
  <c r="K94" i="23" s="1"/>
  <c r="H92" i="23"/>
  <c r="H90" i="23"/>
  <c r="H85" i="23"/>
  <c r="H83" i="23"/>
  <c r="H82" i="23" s="1"/>
  <c r="H80" i="23"/>
  <c r="H64" i="23"/>
  <c r="H63" i="23" s="1"/>
  <c r="H52" i="23"/>
  <c r="H42" i="23"/>
  <c r="H26" i="23"/>
  <c r="K26" i="23" s="1"/>
  <c r="H23" i="23"/>
  <c r="H21" i="23"/>
  <c r="H19" i="23"/>
  <c r="H13" i="23"/>
  <c r="H10" i="23"/>
  <c r="H33" i="23" l="1"/>
  <c r="L25" i="23"/>
  <c r="K23" i="23"/>
  <c r="L56" i="23"/>
  <c r="K52" i="23"/>
  <c r="K33" i="23" s="1"/>
  <c r="L29" i="23"/>
  <c r="L28" i="23" s="1"/>
  <c r="L69" i="23"/>
  <c r="K64" i="23"/>
  <c r="K63" i="23" s="1"/>
  <c r="H18" i="23"/>
  <c r="H89" i="23"/>
  <c r="K90" i="23"/>
  <c r="H96" i="23" l="1"/>
  <c r="K46" i="24"/>
  <c r="K40" i="24"/>
  <c r="K82" i="24"/>
  <c r="K190" i="24"/>
  <c r="K186" i="24"/>
  <c r="K114" i="24"/>
  <c r="K173" i="24" l="1"/>
  <c r="K172" i="24" s="1"/>
  <c r="K68" i="24"/>
  <c r="K64" i="24"/>
  <c r="K227" i="24"/>
  <c r="K224" i="24"/>
  <c r="K219" i="24"/>
  <c r="K214" i="24"/>
  <c r="K208" i="24"/>
  <c r="K206" i="24"/>
  <c r="K202" i="24"/>
  <c r="K200" i="24"/>
  <c r="K199" i="24" s="1"/>
  <c r="K162" i="24"/>
  <c r="K151" i="24"/>
  <c r="K145" i="24"/>
  <c r="K136" i="24"/>
  <c r="K129" i="24"/>
  <c r="K123" i="24"/>
  <c r="K112" i="24"/>
  <c r="K106" i="24"/>
  <c r="K101" i="24"/>
  <c r="K90" i="24"/>
  <c r="K83" i="24"/>
  <c r="K80" i="24"/>
  <c r="K73" i="24"/>
  <c r="K53" i="24"/>
  <c r="K44" i="24"/>
  <c r="K37" i="24"/>
  <c r="K29" i="24"/>
  <c r="K25" i="24"/>
  <c r="K20" i="24"/>
  <c r="K14" i="24"/>
  <c r="K10" i="24"/>
  <c r="K9" i="24" l="1"/>
  <c r="K205" i="24"/>
  <c r="K100" i="24"/>
  <c r="K36" i="24"/>
  <c r="K231" i="24" l="1"/>
  <c r="I64" i="23"/>
  <c r="I80" i="23"/>
  <c r="K80" i="23" s="1"/>
  <c r="E80" i="23"/>
  <c r="L80" i="23" l="1"/>
  <c r="M101" i="24" l="1"/>
  <c r="O103" i="24"/>
  <c r="N103" i="24"/>
  <c r="F27" i="24"/>
  <c r="G64" i="23" l="1"/>
  <c r="L64" i="23"/>
  <c r="E64" i="23"/>
  <c r="H73" i="24" l="1"/>
  <c r="G73" i="24"/>
  <c r="M73" i="24" s="1"/>
  <c r="F183" i="24"/>
  <c r="J183" i="24"/>
  <c r="O34" i="24" l="1"/>
  <c r="J34" i="24"/>
  <c r="N183" i="24"/>
  <c r="J64" i="23"/>
  <c r="E63" i="23"/>
  <c r="E52" i="23"/>
  <c r="L57" i="23" l="1"/>
  <c r="D10" i="9" l="1"/>
  <c r="D24" i="9"/>
  <c r="D22" i="9" s="1"/>
  <c r="G68" i="24"/>
  <c r="M68" i="24" s="1"/>
  <c r="H64" i="24"/>
  <c r="G80" i="24"/>
  <c r="M80" i="24" s="1"/>
  <c r="L80" i="24"/>
  <c r="D8" i="9" l="1"/>
  <c r="I63" i="23" l="1"/>
  <c r="G63" i="23"/>
  <c r="N73" i="23"/>
  <c r="L63" i="23"/>
  <c r="N70" i="23"/>
  <c r="N69" i="23"/>
  <c r="L68" i="24" l="1"/>
  <c r="H68" i="24"/>
  <c r="E68" i="24"/>
  <c r="G219" i="24"/>
  <c r="M219" i="24" s="1"/>
  <c r="J72" i="24"/>
  <c r="F72" i="24"/>
  <c r="E73" i="24"/>
  <c r="N72" i="24" l="1"/>
  <c r="O72" i="24"/>
  <c r="F19" i="9"/>
  <c r="F16" i="9"/>
  <c r="F14" i="9"/>
  <c r="G208" i="24" l="1"/>
  <c r="M208" i="24" s="1"/>
  <c r="D208" i="24"/>
  <c r="G202" i="24"/>
  <c r="M202" i="24" s="1"/>
  <c r="G162" i="24"/>
  <c r="M162" i="24" s="1"/>
  <c r="M90" i="24" l="1"/>
  <c r="G37" i="24"/>
  <c r="F28" i="24"/>
  <c r="F26" i="24"/>
  <c r="F34" i="24"/>
  <c r="N34" i="24" s="1"/>
  <c r="E42" i="23" l="1"/>
  <c r="E33" i="23" s="1"/>
  <c r="E23" i="23"/>
  <c r="E94" i="23"/>
  <c r="E13" i="23"/>
  <c r="E10" i="23"/>
  <c r="E9" i="23" l="1"/>
  <c r="F25" i="24"/>
  <c r="J52" i="23" l="1"/>
  <c r="I52" i="23"/>
  <c r="L52" i="23" s="1"/>
  <c r="G52" i="23"/>
  <c r="J13" i="23"/>
  <c r="I13" i="23"/>
  <c r="K13" i="23" s="1"/>
  <c r="G13" i="23"/>
  <c r="C13" i="23"/>
  <c r="F94" i="23"/>
  <c r="L94" i="23" s="1"/>
  <c r="C94" i="23"/>
  <c r="C57" i="23"/>
  <c r="J42" i="23"/>
  <c r="I42" i="23"/>
  <c r="I33" i="23" s="1"/>
  <c r="G42" i="23"/>
  <c r="C42" i="23"/>
  <c r="G227" i="24"/>
  <c r="N25" i="24"/>
  <c r="L25" i="24"/>
  <c r="H25" i="24"/>
  <c r="I25" i="24" s="1"/>
  <c r="G25" i="24"/>
  <c r="E25" i="24"/>
  <c r="D25" i="24"/>
  <c r="M25" i="24" l="1"/>
  <c r="J25" i="24"/>
  <c r="J33" i="23"/>
  <c r="G33" i="23"/>
  <c r="L13" i="23"/>
  <c r="L42" i="23"/>
  <c r="L33" i="23" s="1"/>
  <c r="J92" i="23" l="1"/>
  <c r="I92" i="23"/>
  <c r="G92" i="23"/>
  <c r="G89" i="23" s="1"/>
  <c r="I89" i="23" l="1"/>
  <c r="L92" i="23"/>
  <c r="G206" i="24"/>
  <c r="M206" i="24" s="1"/>
  <c r="M217" i="24"/>
  <c r="G214" i="24"/>
  <c r="M214" i="24" s="1"/>
  <c r="G200" i="24"/>
  <c r="G172" i="24"/>
  <c r="M172" i="24" s="1"/>
  <c r="G129" i="24"/>
  <c r="M129" i="24" s="1"/>
  <c r="G123" i="24"/>
  <c r="M123" i="24" s="1"/>
  <c r="G112" i="24"/>
  <c r="M112" i="24" s="1"/>
  <c r="G106" i="24"/>
  <c r="M106" i="24" s="1"/>
  <c r="G44" i="24"/>
  <c r="M44" i="24" s="1"/>
  <c r="G151" i="24"/>
  <c r="M151" i="24" s="1"/>
  <c r="H151" i="24"/>
  <c r="G145" i="24"/>
  <c r="M145" i="24" s="1"/>
  <c r="H145" i="24"/>
  <c r="H123" i="24"/>
  <c r="H112" i="24"/>
  <c r="H106" i="24"/>
  <c r="G83" i="24"/>
  <c r="M83" i="24" s="1"/>
  <c r="H83" i="24"/>
  <c r="G64" i="24"/>
  <c r="M64" i="24" s="1"/>
  <c r="G53" i="24"/>
  <c r="M53" i="24" s="1"/>
  <c r="G29" i="24"/>
  <c r="G20" i="24"/>
  <c r="M20" i="24" s="1"/>
  <c r="G14" i="24"/>
  <c r="M14" i="24" s="1"/>
  <c r="G10" i="24"/>
  <c r="J82" i="24"/>
  <c r="G199" i="24" l="1"/>
  <c r="M199" i="24" s="1"/>
  <c r="M200" i="24"/>
  <c r="G100" i="24"/>
  <c r="M100" i="24" s="1"/>
  <c r="G36" i="24"/>
  <c r="G9" i="24"/>
  <c r="G205" i="24"/>
  <c r="G231" i="24" l="1"/>
  <c r="L219" i="24" l="1"/>
  <c r="L224" i="24"/>
  <c r="J30" i="24"/>
  <c r="O19" i="24" l="1"/>
  <c r="J19" i="24"/>
  <c r="L145" i="24" l="1"/>
  <c r="E208" i="24"/>
  <c r="J210" i="24"/>
  <c r="F210" i="24"/>
  <c r="N210" i="24" l="1"/>
  <c r="J165" i="24"/>
  <c r="F165" i="24"/>
  <c r="N165" i="24" l="1"/>
  <c r="J191" i="24" l="1"/>
  <c r="J189" i="24"/>
  <c r="J188" i="24"/>
  <c r="J187" i="24"/>
  <c r="J186" i="24"/>
  <c r="J185" i="24"/>
  <c r="J184" i="24"/>
  <c r="J182" i="24"/>
  <c r="J181" i="24"/>
  <c r="J179" i="24"/>
  <c r="J178" i="24"/>
  <c r="J177" i="24"/>
  <c r="J176" i="24"/>
  <c r="J175" i="24"/>
  <c r="J174" i="24"/>
  <c r="J171" i="24"/>
  <c r="J170" i="24"/>
  <c r="J169" i="24"/>
  <c r="J168" i="24"/>
  <c r="J166" i="24"/>
  <c r="J164" i="24"/>
  <c r="J163" i="24"/>
  <c r="J161" i="24"/>
  <c r="J160" i="24"/>
  <c r="J159" i="24"/>
  <c r="J158" i="24"/>
  <c r="J157" i="24"/>
  <c r="J156" i="24"/>
  <c r="J155" i="24"/>
  <c r="J154" i="24"/>
  <c r="J153" i="24"/>
  <c r="J152" i="24"/>
  <c r="J150" i="24"/>
  <c r="J149" i="24"/>
  <c r="J148" i="24"/>
  <c r="J147" i="24"/>
  <c r="J146" i="24"/>
  <c r="O190" i="24" l="1"/>
  <c r="J190" i="24"/>
  <c r="J151" i="24"/>
  <c r="J162" i="24"/>
  <c r="F168" i="24" l="1"/>
  <c r="N168" i="24" s="1"/>
  <c r="F164" i="24" l="1"/>
  <c r="N164" i="24" s="1"/>
  <c r="C85" i="23" l="1"/>
  <c r="E202" i="24"/>
  <c r="O79" i="24" l="1"/>
  <c r="J79" i="24"/>
  <c r="F138" i="24"/>
  <c r="J144" i="24" l="1"/>
  <c r="J143" i="24"/>
  <c r="J142" i="24"/>
  <c r="J141" i="24"/>
  <c r="C64" i="23" l="1"/>
  <c r="C63" i="23" s="1"/>
  <c r="I85" i="23"/>
  <c r="L85" i="23" s="1"/>
  <c r="I83" i="23"/>
  <c r="I82" i="23" l="1"/>
  <c r="E29" i="24" l="1"/>
  <c r="E80" i="24"/>
  <c r="E92" i="23" l="1"/>
  <c r="E90" i="23"/>
  <c r="E85" i="23"/>
  <c r="E82" i="23" s="1"/>
  <c r="E83" i="23"/>
  <c r="E37" i="23"/>
  <c r="E34" i="23"/>
  <c r="E26" i="23"/>
  <c r="E21" i="23"/>
  <c r="E19" i="23"/>
  <c r="E18" i="23" s="1"/>
  <c r="C92" i="23"/>
  <c r="E89" i="23" l="1"/>
  <c r="J200" i="24" l="1"/>
  <c r="J201" i="24"/>
  <c r="E96" i="23"/>
  <c r="D136" i="24" l="1"/>
  <c r="J24" i="24"/>
  <c r="J23" i="24"/>
  <c r="J22" i="24"/>
  <c r="J21" i="24"/>
  <c r="J35" i="24"/>
  <c r="J40" i="24"/>
  <c r="J49" i="24"/>
  <c r="J55" i="24"/>
  <c r="J54" i="24"/>
  <c r="J65" i="24"/>
  <c r="J69" i="24"/>
  <c r="J92" i="24"/>
  <c r="J102" i="24"/>
  <c r="J108" i="24"/>
  <c r="J116" i="24"/>
  <c r="J115" i="24"/>
  <c r="J114" i="24"/>
  <c r="J135" i="24"/>
  <c r="J134" i="24"/>
  <c r="J133" i="24"/>
  <c r="J132" i="24"/>
  <c r="J131" i="24"/>
  <c r="J130" i="24"/>
  <c r="J140" i="24"/>
  <c r="J139" i="24"/>
  <c r="J138" i="24"/>
  <c r="I192" i="24"/>
  <c r="L227" i="24" l="1"/>
  <c r="H219" i="24"/>
  <c r="H224" i="24"/>
  <c r="I224" i="24" s="1"/>
  <c r="L26" i="23"/>
  <c r="L83" i="23" l="1"/>
  <c r="M224" i="24"/>
  <c r="I205" i="24"/>
  <c r="L89" i="23"/>
  <c r="L90" i="23"/>
  <c r="L82" i="23"/>
  <c r="M205" i="24" l="1"/>
  <c r="F96" i="23"/>
  <c r="M75" i="23" l="1"/>
  <c r="N75" i="23"/>
  <c r="G19" i="23" l="1"/>
  <c r="G21" i="23"/>
  <c r="I23" i="23"/>
  <c r="L23" i="23" s="1"/>
  <c r="N55" i="23"/>
  <c r="O49" i="24"/>
  <c r="F52" i="24"/>
  <c r="E200" i="24"/>
  <c r="E199" i="24" s="1"/>
  <c r="M86" i="23"/>
  <c r="N71" i="23"/>
  <c r="M72" i="23"/>
  <c r="N72" i="23"/>
  <c r="M76" i="23"/>
  <c r="N76" i="23"/>
  <c r="M77" i="23"/>
  <c r="N77" i="23"/>
  <c r="M84" i="23"/>
  <c r="N84" i="23"/>
  <c r="M91" i="23"/>
  <c r="M90" i="23" s="1"/>
  <c r="M89" i="23" s="1"/>
  <c r="C24" i="9"/>
  <c r="C22" i="9" s="1"/>
  <c r="E24" i="9"/>
  <c r="E22" i="9" s="1"/>
  <c r="H14" i="9"/>
  <c r="G14" i="9"/>
  <c r="E10" i="9"/>
  <c r="C10" i="9"/>
  <c r="J117" i="24"/>
  <c r="O115" i="24"/>
  <c r="J107" i="24"/>
  <c r="J39" i="24"/>
  <c r="J38" i="24"/>
  <c r="L90" i="24"/>
  <c r="H90" i="24"/>
  <c r="E90" i="24"/>
  <c r="O159" i="24"/>
  <c r="O156" i="24"/>
  <c r="O143" i="24"/>
  <c r="F30" i="24"/>
  <c r="F33" i="24"/>
  <c r="F38" i="24"/>
  <c r="F39" i="24"/>
  <c r="F40" i="24"/>
  <c r="N40" i="24" s="1"/>
  <c r="F41" i="24"/>
  <c r="F42" i="24"/>
  <c r="F43" i="24"/>
  <c r="J34" i="23"/>
  <c r="J45" i="24"/>
  <c r="F108" i="24"/>
  <c r="N108" i="24" s="1"/>
  <c r="F107" i="24"/>
  <c r="F102" i="24"/>
  <c r="N102" i="24" s="1"/>
  <c r="H44" i="24"/>
  <c r="N29" i="23"/>
  <c r="N25" i="23"/>
  <c r="N24" i="23"/>
  <c r="N11" i="23"/>
  <c r="J90" i="23"/>
  <c r="J89" i="23" s="1"/>
  <c r="D90" i="23"/>
  <c r="D89" i="23" s="1"/>
  <c r="C90" i="23"/>
  <c r="C89" i="23" s="1"/>
  <c r="J85" i="23"/>
  <c r="D85" i="23"/>
  <c r="J83" i="23"/>
  <c r="D83" i="23"/>
  <c r="C83" i="23"/>
  <c r="C82" i="23" s="1"/>
  <c r="J63" i="23"/>
  <c r="D64" i="23"/>
  <c r="D63" i="23" s="1"/>
  <c r="D57" i="23"/>
  <c r="N56" i="23"/>
  <c r="M53" i="23"/>
  <c r="D52" i="23"/>
  <c r="C52" i="23"/>
  <c r="D44" i="23"/>
  <c r="C44" i="23"/>
  <c r="J37" i="23"/>
  <c r="D37" i="23"/>
  <c r="C37" i="23"/>
  <c r="N37" i="23"/>
  <c r="D34" i="23"/>
  <c r="C34" i="23"/>
  <c r="D28" i="23"/>
  <c r="C28" i="23"/>
  <c r="J26" i="23"/>
  <c r="D26" i="23"/>
  <c r="C26" i="23"/>
  <c r="J23" i="23"/>
  <c r="D23" i="23"/>
  <c r="C23" i="23"/>
  <c r="J21" i="23"/>
  <c r="D21" i="23"/>
  <c r="C21" i="23"/>
  <c r="J19" i="23"/>
  <c r="D19" i="23"/>
  <c r="C19" i="23"/>
  <c r="J12" i="23"/>
  <c r="G12" i="23"/>
  <c r="D12" i="23"/>
  <c r="M11" i="23"/>
  <c r="J10" i="23"/>
  <c r="I10" i="23"/>
  <c r="G10" i="23"/>
  <c r="D10" i="23"/>
  <c r="C10" i="23"/>
  <c r="C9" i="23" s="1"/>
  <c r="J93" i="24"/>
  <c r="O149" i="24"/>
  <c r="O139" i="24"/>
  <c r="O133" i="24"/>
  <c r="O131" i="24"/>
  <c r="J126" i="24"/>
  <c r="J125" i="24"/>
  <c r="J109" i="24"/>
  <c r="D10" i="24"/>
  <c r="E10" i="24"/>
  <c r="H10" i="24"/>
  <c r="L10" i="24"/>
  <c r="F11" i="24"/>
  <c r="J11" i="24"/>
  <c r="F12" i="24"/>
  <c r="J12" i="24"/>
  <c r="J13" i="24"/>
  <c r="D14" i="24"/>
  <c r="E14" i="24"/>
  <c r="H14" i="24"/>
  <c r="L14" i="24"/>
  <c r="F15" i="24"/>
  <c r="F16" i="24"/>
  <c r="J16" i="24"/>
  <c r="F17" i="24"/>
  <c r="F18" i="24"/>
  <c r="F19" i="24"/>
  <c r="D20" i="24"/>
  <c r="E20" i="24"/>
  <c r="H20" i="24"/>
  <c r="L20" i="24"/>
  <c r="F21" i="24"/>
  <c r="N21" i="24" s="1"/>
  <c r="F22" i="24"/>
  <c r="N22" i="24" s="1"/>
  <c r="F23" i="24"/>
  <c r="F24" i="24"/>
  <c r="D29" i="24"/>
  <c r="H29" i="24"/>
  <c r="I29" i="24" s="1"/>
  <c r="L29" i="24"/>
  <c r="O30" i="24"/>
  <c r="F31" i="24"/>
  <c r="J31" i="24"/>
  <c r="F32" i="24"/>
  <c r="J33" i="24"/>
  <c r="F35" i="24"/>
  <c r="N35" i="24" s="1"/>
  <c r="D37" i="24"/>
  <c r="E37" i="24"/>
  <c r="H37" i="24"/>
  <c r="I37" i="24" s="1"/>
  <c r="L37" i="24"/>
  <c r="J42" i="24"/>
  <c r="J43" i="24"/>
  <c r="D44" i="24"/>
  <c r="E44" i="24"/>
  <c r="L44" i="24"/>
  <c r="F45" i="24"/>
  <c r="F46" i="24"/>
  <c r="J46" i="24"/>
  <c r="F47" i="24"/>
  <c r="J47" i="24"/>
  <c r="F48" i="24"/>
  <c r="F49" i="24"/>
  <c r="F50" i="24"/>
  <c r="F51" i="24"/>
  <c r="J51" i="24"/>
  <c r="D53" i="24"/>
  <c r="E53" i="24"/>
  <c r="H53" i="24"/>
  <c r="L53" i="24"/>
  <c r="F54" i="24"/>
  <c r="N54" i="24" s="1"/>
  <c r="F55" i="24"/>
  <c r="N55" i="24" s="1"/>
  <c r="O55" i="24"/>
  <c r="F56" i="24"/>
  <c r="I56" i="24"/>
  <c r="M56" i="24" s="1"/>
  <c r="D64" i="24"/>
  <c r="E64" i="24"/>
  <c r="L64" i="24"/>
  <c r="F65" i="24"/>
  <c r="N65" i="24" s="1"/>
  <c r="F66" i="24"/>
  <c r="J66" i="24"/>
  <c r="F67" i="24"/>
  <c r="D68" i="24"/>
  <c r="F69" i="24"/>
  <c r="N69" i="24" s="1"/>
  <c r="O69" i="24"/>
  <c r="F70" i="24"/>
  <c r="J70" i="24"/>
  <c r="F71" i="24"/>
  <c r="J71" i="24"/>
  <c r="D73" i="24"/>
  <c r="L73" i="24"/>
  <c r="F74" i="24"/>
  <c r="J74" i="24"/>
  <c r="F75" i="24"/>
  <c r="F76" i="24"/>
  <c r="J76" i="24"/>
  <c r="F77" i="24"/>
  <c r="J77" i="24"/>
  <c r="F78" i="24"/>
  <c r="F79" i="24"/>
  <c r="D80" i="24"/>
  <c r="F80" i="24" s="1"/>
  <c r="H80" i="24"/>
  <c r="F81" i="24"/>
  <c r="J81" i="24"/>
  <c r="F82" i="24"/>
  <c r="O82" i="24"/>
  <c r="D83" i="24"/>
  <c r="E83" i="24"/>
  <c r="L83" i="24"/>
  <c r="F84" i="24"/>
  <c r="J84" i="24"/>
  <c r="F85" i="24"/>
  <c r="F86" i="24"/>
  <c r="F87" i="24"/>
  <c r="J87" i="24"/>
  <c r="F88" i="24"/>
  <c r="J88" i="24"/>
  <c r="F89" i="24"/>
  <c r="F91" i="24"/>
  <c r="F92" i="24"/>
  <c r="F93" i="24"/>
  <c r="F94" i="24"/>
  <c r="F95" i="24"/>
  <c r="F96" i="24"/>
  <c r="F97" i="24"/>
  <c r="D101" i="24"/>
  <c r="E101" i="24"/>
  <c r="L101" i="24"/>
  <c r="O102" i="24"/>
  <c r="F104" i="24"/>
  <c r="F105" i="24"/>
  <c r="J105" i="24"/>
  <c r="D106" i="24"/>
  <c r="E106" i="24"/>
  <c r="L106" i="24"/>
  <c r="O108" i="24"/>
  <c r="F109" i="24"/>
  <c r="F110" i="24"/>
  <c r="J110" i="24"/>
  <c r="F111" i="24"/>
  <c r="D112" i="24"/>
  <c r="E112" i="24"/>
  <c r="L112" i="24"/>
  <c r="F113" i="24"/>
  <c r="J113" i="24"/>
  <c r="F114" i="24"/>
  <c r="F115" i="24"/>
  <c r="F116" i="24"/>
  <c r="O116" i="24"/>
  <c r="F117" i="24"/>
  <c r="D123" i="24"/>
  <c r="E123" i="24"/>
  <c r="L123" i="24"/>
  <c r="F124" i="24"/>
  <c r="F125" i="24"/>
  <c r="F126" i="24"/>
  <c r="F127" i="24"/>
  <c r="D129" i="24"/>
  <c r="E129" i="24"/>
  <c r="H129" i="24"/>
  <c r="L129" i="24"/>
  <c r="F130" i="24"/>
  <c r="O130" i="24"/>
  <c r="F131" i="24"/>
  <c r="F132" i="24"/>
  <c r="F133" i="24"/>
  <c r="F134" i="24"/>
  <c r="N134" i="24" s="1"/>
  <c r="F135" i="24"/>
  <c r="N135" i="24" s="1"/>
  <c r="E136" i="24"/>
  <c r="L136" i="24"/>
  <c r="F137" i="24"/>
  <c r="J137" i="24"/>
  <c r="F139" i="24"/>
  <c r="N139" i="24" s="1"/>
  <c r="F140" i="24"/>
  <c r="F141" i="24"/>
  <c r="N141" i="24" s="1"/>
  <c r="F142" i="24"/>
  <c r="N142" i="24" s="1"/>
  <c r="F143" i="24"/>
  <c r="N143" i="24" s="1"/>
  <c r="F144" i="24"/>
  <c r="N144" i="24" s="1"/>
  <c r="O144" i="24"/>
  <c r="D145" i="24"/>
  <c r="E145" i="24"/>
  <c r="J145" i="24"/>
  <c r="F146" i="24"/>
  <c r="F147" i="24"/>
  <c r="O147" i="24"/>
  <c r="F148" i="24"/>
  <c r="F149" i="24"/>
  <c r="N149" i="24" s="1"/>
  <c r="F150" i="24"/>
  <c r="D151" i="24"/>
  <c r="L151" i="24"/>
  <c r="F152" i="24"/>
  <c r="F153" i="24"/>
  <c r="F154" i="24"/>
  <c r="F155" i="24"/>
  <c r="N155" i="24" s="1"/>
  <c r="F156" i="24"/>
  <c r="F157" i="24"/>
  <c r="N157" i="24" s="1"/>
  <c r="F158" i="24"/>
  <c r="N158" i="24" s="1"/>
  <c r="F159" i="24"/>
  <c r="N159" i="24" s="1"/>
  <c r="F160" i="24"/>
  <c r="N160" i="24" s="1"/>
  <c r="O160" i="24"/>
  <c r="N161" i="24"/>
  <c r="D162" i="24"/>
  <c r="E162" i="24"/>
  <c r="H162" i="24"/>
  <c r="L162" i="24"/>
  <c r="F163" i="24"/>
  <c r="F166" i="24"/>
  <c r="N166" i="24" s="1"/>
  <c r="F169" i="24"/>
  <c r="N169" i="24" s="1"/>
  <c r="F170" i="24"/>
  <c r="F171" i="24"/>
  <c r="D173" i="24"/>
  <c r="F174" i="24"/>
  <c r="N174" i="24" s="1"/>
  <c r="F175" i="24"/>
  <c r="F176" i="24"/>
  <c r="F177" i="24"/>
  <c r="N177" i="24" s="1"/>
  <c r="F178" i="24"/>
  <c r="F179" i="24"/>
  <c r="D180" i="24"/>
  <c r="J180" i="24"/>
  <c r="L180" i="24"/>
  <c r="L172" i="24" s="1"/>
  <c r="F181" i="24"/>
  <c r="F182" i="24"/>
  <c r="F184" i="24"/>
  <c r="F185" i="24"/>
  <c r="F186" i="24"/>
  <c r="F187" i="24"/>
  <c r="F188" i="24"/>
  <c r="F190" i="24"/>
  <c r="F191" i="24"/>
  <c r="D200" i="24"/>
  <c r="D199" i="24" s="1"/>
  <c r="H200" i="24"/>
  <c r="L200" i="24"/>
  <c r="F201" i="24"/>
  <c r="O201" i="24"/>
  <c r="D202" i="24"/>
  <c r="H202" i="24"/>
  <c r="L202" i="24"/>
  <c r="F203" i="24"/>
  <c r="J203" i="24"/>
  <c r="J204" i="24"/>
  <c r="D206" i="24"/>
  <c r="E206" i="24"/>
  <c r="H206" i="24"/>
  <c r="L206" i="24"/>
  <c r="F207" i="24"/>
  <c r="J207" i="24"/>
  <c r="H208" i="24"/>
  <c r="L208" i="24"/>
  <c r="F209" i="24"/>
  <c r="J209" i="24"/>
  <c r="F211" i="24"/>
  <c r="J211" i="24"/>
  <c r="J212" i="24"/>
  <c r="J213" i="24"/>
  <c r="D214" i="24"/>
  <c r="E214" i="24"/>
  <c r="H214" i="24"/>
  <c r="L214" i="24"/>
  <c r="F215" i="24"/>
  <c r="J215" i="24"/>
  <c r="F216" i="24"/>
  <c r="D217" i="24"/>
  <c r="E217" i="24"/>
  <c r="F218" i="24"/>
  <c r="J218" i="24"/>
  <c r="D219" i="24"/>
  <c r="E219" i="24"/>
  <c r="F220" i="24"/>
  <c r="F221" i="24"/>
  <c r="J221" i="24"/>
  <c r="F222" i="24"/>
  <c r="F223" i="24"/>
  <c r="J223" i="24"/>
  <c r="D224" i="24"/>
  <c r="E224" i="24"/>
  <c r="F225" i="24"/>
  <c r="F226" i="24"/>
  <c r="D227" i="24"/>
  <c r="E227" i="24"/>
  <c r="H227" i="24"/>
  <c r="F228" i="24"/>
  <c r="J228" i="24"/>
  <c r="F229" i="24"/>
  <c r="J229" i="24"/>
  <c r="F230" i="24"/>
  <c r="O65" i="24"/>
  <c r="O54" i="24"/>
  <c r="M51" i="23"/>
  <c r="M29" i="23"/>
  <c r="M25" i="23"/>
  <c r="M23" i="23" s="1"/>
  <c r="O169" i="24"/>
  <c r="M13" i="23"/>
  <c r="M57" i="23"/>
  <c r="N51" i="23"/>
  <c r="M44" i="23"/>
  <c r="M56" i="23"/>
  <c r="N44" i="23"/>
  <c r="N53" i="23"/>
  <c r="M60" i="23"/>
  <c r="N57" i="23"/>
  <c r="M52" i="23"/>
  <c r="J53" i="24"/>
  <c r="O191" i="24"/>
  <c r="N64" i="23"/>
  <c r="M64" i="23"/>
  <c r="N86" i="23"/>
  <c r="O141" i="24"/>
  <c r="O23" i="24"/>
  <c r="O142" i="24"/>
  <c r="O135" i="24"/>
  <c r="I22" i="23"/>
  <c r="K22" i="23" s="1"/>
  <c r="L22" i="23" s="1"/>
  <c r="I20" i="23"/>
  <c r="N31" i="23"/>
  <c r="M31" i="23"/>
  <c r="M39" i="23"/>
  <c r="M41" i="23"/>
  <c r="N41" i="23"/>
  <c r="M62" i="23"/>
  <c r="N62" i="23"/>
  <c r="N78" i="23"/>
  <c r="M78" i="23"/>
  <c r="N34" i="23"/>
  <c r="M34" i="23"/>
  <c r="F101" i="24" l="1"/>
  <c r="I36" i="24"/>
  <c r="M37" i="24"/>
  <c r="E205" i="24"/>
  <c r="I9" i="24"/>
  <c r="M29" i="24"/>
  <c r="F208" i="24"/>
  <c r="F10" i="24"/>
  <c r="J82" i="23"/>
  <c r="I227" i="24"/>
  <c r="J227" i="24" s="1"/>
  <c r="O222" i="24"/>
  <c r="J222" i="24"/>
  <c r="O220" i="24"/>
  <c r="J220" i="24"/>
  <c r="O216" i="24"/>
  <c r="J216" i="24"/>
  <c r="O225" i="24"/>
  <c r="J225" i="24"/>
  <c r="O226" i="24"/>
  <c r="J226" i="24"/>
  <c r="O224" i="24"/>
  <c r="J224" i="24"/>
  <c r="N128" i="24"/>
  <c r="J128" i="24"/>
  <c r="O124" i="24"/>
  <c r="J124" i="24"/>
  <c r="O173" i="24"/>
  <c r="J173" i="24"/>
  <c r="O127" i="24"/>
  <c r="J127" i="24"/>
  <c r="J95" i="24"/>
  <c r="O78" i="24"/>
  <c r="J78" i="24"/>
  <c r="O94" i="24"/>
  <c r="J94" i="24"/>
  <c r="O111" i="24"/>
  <c r="J111" i="24"/>
  <c r="O86" i="24"/>
  <c r="J86" i="24"/>
  <c r="O75" i="24"/>
  <c r="J75" i="24"/>
  <c r="J96" i="24"/>
  <c r="J101" i="24"/>
  <c r="J104" i="24"/>
  <c r="J91" i="24"/>
  <c r="O89" i="24"/>
  <c r="J89" i="24"/>
  <c r="O67" i="24"/>
  <c r="J67" i="24"/>
  <c r="O97" i="24"/>
  <c r="J97" i="24"/>
  <c r="O85" i="24"/>
  <c r="J85" i="24"/>
  <c r="O32" i="24"/>
  <c r="J32" i="24"/>
  <c r="O48" i="24"/>
  <c r="J48" i="24"/>
  <c r="O52" i="24"/>
  <c r="J52" i="24"/>
  <c r="O18" i="24"/>
  <c r="J18" i="24"/>
  <c r="N50" i="24"/>
  <c r="J50" i="24"/>
  <c r="O17" i="24"/>
  <c r="J17" i="24"/>
  <c r="O15" i="24"/>
  <c r="J15" i="24"/>
  <c r="J73" i="24"/>
  <c r="F73" i="24"/>
  <c r="O70" i="24"/>
  <c r="O66" i="24"/>
  <c r="G9" i="23"/>
  <c r="J9" i="23"/>
  <c r="C33" i="23"/>
  <c r="N220" i="24"/>
  <c r="N218" i="24"/>
  <c r="F20" i="24"/>
  <c r="F217" i="24"/>
  <c r="J172" i="24"/>
  <c r="O31" i="24"/>
  <c r="L199" i="24"/>
  <c r="F151" i="24"/>
  <c r="O107" i="24"/>
  <c r="J106" i="24"/>
  <c r="N12" i="24"/>
  <c r="O12" i="24"/>
  <c r="O11" i="24"/>
  <c r="N11" i="24"/>
  <c r="L36" i="24"/>
  <c r="N104" i="24"/>
  <c r="J217" i="24"/>
  <c r="O209" i="24"/>
  <c r="E172" i="24"/>
  <c r="N85" i="24"/>
  <c r="O104" i="24"/>
  <c r="O162" i="24"/>
  <c r="N137" i="24"/>
  <c r="O43" i="24"/>
  <c r="N117" i="24"/>
  <c r="N96" i="24"/>
  <c r="O212" i="24"/>
  <c r="O41" i="24"/>
  <c r="O38" i="24"/>
  <c r="O39" i="24"/>
  <c r="I12" i="23"/>
  <c r="N13" i="23"/>
  <c r="D9" i="23"/>
  <c r="D82" i="23"/>
  <c r="D18" i="23"/>
  <c r="J18" i="23"/>
  <c r="G18" i="23"/>
  <c r="M22" i="23"/>
  <c r="I19" i="23"/>
  <c r="N20" i="23"/>
  <c r="N10" i="23"/>
  <c r="N91" i="24"/>
  <c r="N212" i="24"/>
  <c r="N105" i="24"/>
  <c r="O117" i="24"/>
  <c r="O88" i="24"/>
  <c r="O77" i="24"/>
  <c r="N51" i="24"/>
  <c r="O51" i="24"/>
  <c r="N17" i="24"/>
  <c r="N225" i="24"/>
  <c r="N71" i="24"/>
  <c r="N81" i="24"/>
  <c r="H172" i="24"/>
  <c r="N228" i="24"/>
  <c r="N211" i="24"/>
  <c r="O223" i="24"/>
  <c r="N230" i="24"/>
  <c r="O113" i="24"/>
  <c r="N93" i="24"/>
  <c r="N16" i="24"/>
  <c r="C18" i="23"/>
  <c r="N23" i="23"/>
  <c r="F206" i="24"/>
  <c r="N76" i="24"/>
  <c r="N75" i="24"/>
  <c r="F219" i="24"/>
  <c r="F162" i="24"/>
  <c r="N89" i="24"/>
  <c r="F53" i="24"/>
  <c r="N53" i="24" s="1"/>
  <c r="F44" i="24"/>
  <c r="F37" i="24"/>
  <c r="C8" i="9"/>
  <c r="D33" i="23"/>
  <c r="O50" i="24"/>
  <c r="D9" i="24"/>
  <c r="N74" i="24"/>
  <c r="F173" i="24"/>
  <c r="F202" i="24"/>
  <c r="H199" i="24"/>
  <c r="F227" i="24"/>
  <c r="F200" i="24"/>
  <c r="N200" i="24" s="1"/>
  <c r="F145" i="24"/>
  <c r="D100" i="24"/>
  <c r="N86" i="24"/>
  <c r="O221" i="24"/>
  <c r="J219" i="24"/>
  <c r="N207" i="24"/>
  <c r="O138" i="24"/>
  <c r="O47" i="24"/>
  <c r="F214" i="24"/>
  <c r="D205" i="24"/>
  <c r="F199" i="24"/>
  <c r="N191" i="24"/>
  <c r="N185" i="24"/>
  <c r="N182" i="24"/>
  <c r="N171" i="24"/>
  <c r="N163" i="24"/>
  <c r="F123" i="24"/>
  <c r="N125" i="24"/>
  <c r="F106" i="24"/>
  <c r="F83" i="24"/>
  <c r="F68" i="24"/>
  <c r="N38" i="24"/>
  <c r="N222" i="24"/>
  <c r="O189" i="24"/>
  <c r="N189" i="24"/>
  <c r="N201" i="24"/>
  <c r="O148" i="24"/>
  <c r="N148" i="24"/>
  <c r="N94" i="24"/>
  <c r="N70" i="24"/>
  <c r="O45" i="24"/>
  <c r="N229" i="24"/>
  <c r="N188" i="24"/>
  <c r="N187" i="24"/>
  <c r="N181" i="24"/>
  <c r="N184" i="24"/>
  <c r="N126" i="24"/>
  <c r="N133" i="24"/>
  <c r="N67" i="24"/>
  <c r="N97" i="24"/>
  <c r="N52" i="23"/>
  <c r="M85" i="23"/>
  <c r="N85" i="23"/>
  <c r="M10" i="23"/>
  <c r="L205" i="24"/>
  <c r="N176" i="24"/>
  <c r="N175" i="24"/>
  <c r="N216" i="24"/>
  <c r="N186" i="24"/>
  <c r="N154" i="24"/>
  <c r="O154" i="24"/>
  <c r="N127" i="24"/>
  <c r="J112" i="24"/>
  <c r="N113" i="24"/>
  <c r="O109" i="24"/>
  <c r="N49" i="24"/>
  <c r="N23" i="24"/>
  <c r="O21" i="24"/>
  <c r="N18" i="24"/>
  <c r="N223" i="24"/>
  <c r="O207" i="24"/>
  <c r="N178" i="24"/>
  <c r="O157" i="24"/>
  <c r="O146" i="24"/>
  <c r="N179" i="24"/>
  <c r="N147" i="24"/>
  <c r="O163" i="24"/>
  <c r="O155" i="24"/>
  <c r="N170" i="24"/>
  <c r="N146" i="24"/>
  <c r="J136" i="24"/>
  <c r="N110" i="24"/>
  <c r="N116" i="24"/>
  <c r="N109" i="24"/>
  <c r="O110" i="24"/>
  <c r="O137" i="24"/>
  <c r="N130" i="24"/>
  <c r="N95" i="24"/>
  <c r="O71" i="24"/>
  <c r="N31" i="24"/>
  <c r="N213" i="24"/>
  <c r="M63" i="23"/>
  <c r="E8" i="9"/>
  <c r="N88" i="24"/>
  <c r="O84" i="24"/>
  <c r="N84" i="24"/>
  <c r="O213" i="24"/>
  <c r="H205" i="24"/>
  <c r="O153" i="24"/>
  <c r="N153" i="24"/>
  <c r="O145" i="24"/>
  <c r="N150" i="24"/>
  <c r="O150" i="24"/>
  <c r="L100" i="24"/>
  <c r="N131" i="24"/>
  <c r="N124" i="24"/>
  <c r="H100" i="24"/>
  <c r="N107" i="24"/>
  <c r="N82" i="24"/>
  <c r="J80" i="24"/>
  <c r="N66" i="24"/>
  <c r="N48" i="24"/>
  <c r="H36" i="24"/>
  <c r="J44" i="24"/>
  <c r="N47" i="24"/>
  <c r="N46" i="24"/>
  <c r="N45" i="24"/>
  <c r="N42" i="24"/>
  <c r="O40" i="24"/>
  <c r="O35" i="24"/>
  <c r="N33" i="24"/>
  <c r="O33" i="24"/>
  <c r="L9" i="24"/>
  <c r="H9" i="24"/>
  <c r="O22" i="24"/>
  <c r="O16" i="24"/>
  <c r="N203" i="24"/>
  <c r="N221" i="24"/>
  <c r="N215" i="24"/>
  <c r="N226" i="24"/>
  <c r="N209" i="24"/>
  <c r="O185" i="24"/>
  <c r="N190" i="24"/>
  <c r="N156" i="24"/>
  <c r="J123" i="24"/>
  <c r="J129" i="24"/>
  <c r="N138" i="24"/>
  <c r="N115" i="24"/>
  <c r="N132" i="24"/>
  <c r="O132" i="24"/>
  <c r="N111" i="24"/>
  <c r="N52" i="24"/>
  <c r="O93" i="24"/>
  <c r="N79" i="24"/>
  <c r="N87" i="24"/>
  <c r="N56" i="24"/>
  <c r="J90" i="24"/>
  <c r="N30" i="24"/>
  <c r="O46" i="24"/>
  <c r="J20" i="24"/>
  <c r="O42" i="24"/>
  <c r="N13" i="24"/>
  <c r="N43" i="24"/>
  <c r="N32" i="24"/>
  <c r="O13" i="24"/>
  <c r="O24" i="24"/>
  <c r="N39" i="24"/>
  <c r="N24" i="24"/>
  <c r="F224" i="24"/>
  <c r="N224" i="24" s="1"/>
  <c r="F136" i="24"/>
  <c r="O53" i="24"/>
  <c r="N78" i="24"/>
  <c r="E36" i="24"/>
  <c r="F64" i="24"/>
  <c r="F14" i="24"/>
  <c r="E9" i="24"/>
  <c r="O114" i="24"/>
  <c r="N114" i="24"/>
  <c r="M40" i="23"/>
  <c r="N39" i="23"/>
  <c r="M28" i="23"/>
  <c r="N22" i="23"/>
  <c r="M20" i="23"/>
  <c r="M27" i="23"/>
  <c r="M26" i="23" s="1"/>
  <c r="F180" i="24"/>
  <c r="D172" i="24"/>
  <c r="O152" i="24"/>
  <c r="N40" i="23"/>
  <c r="O200" i="24"/>
  <c r="O140" i="24"/>
  <c r="N140" i="24"/>
  <c r="N38" i="23"/>
  <c r="M38" i="23"/>
  <c r="N28" i="23"/>
  <c r="I21" i="23"/>
  <c r="E100" i="24"/>
  <c r="N92" i="24"/>
  <c r="F90" i="24"/>
  <c r="N77" i="24"/>
  <c r="N41" i="24"/>
  <c r="J37" i="24"/>
  <c r="N15" i="24"/>
  <c r="O230" i="24"/>
  <c r="N152" i="24"/>
  <c r="F129" i="24"/>
  <c r="F112" i="24"/>
  <c r="F29" i="24"/>
  <c r="O125" i="24"/>
  <c r="D36" i="24"/>
  <c r="N60" i="23"/>
  <c r="N83" i="23"/>
  <c r="M37" i="23"/>
  <c r="M36" i="24" l="1"/>
  <c r="F205" i="24"/>
  <c r="M227" i="24"/>
  <c r="O73" i="24"/>
  <c r="O208" i="24"/>
  <c r="J208" i="24"/>
  <c r="O206" i="24"/>
  <c r="J206" i="24"/>
  <c r="J199" i="24"/>
  <c r="J202" i="24"/>
  <c r="O214" i="24"/>
  <c r="J214" i="24"/>
  <c r="O83" i="24"/>
  <c r="J83" i="24"/>
  <c r="O68" i="24"/>
  <c r="J68" i="24"/>
  <c r="O64" i="24"/>
  <c r="J64" i="24"/>
  <c r="O10" i="24"/>
  <c r="J10" i="24"/>
  <c r="M10" i="24" s="1"/>
  <c r="O14" i="24"/>
  <c r="J14" i="24"/>
  <c r="O29" i="24"/>
  <c r="J29" i="24"/>
  <c r="G96" i="23"/>
  <c r="K21" i="23"/>
  <c r="L19" i="23"/>
  <c r="K12" i="23"/>
  <c r="L231" i="24"/>
  <c r="N20" i="24"/>
  <c r="N217" i="24"/>
  <c r="N227" i="24"/>
  <c r="I9" i="23"/>
  <c r="C96" i="23"/>
  <c r="N19" i="23"/>
  <c r="D96" i="23"/>
  <c r="M19" i="23"/>
  <c r="M33" i="23"/>
  <c r="N12" i="23"/>
  <c r="J96" i="23"/>
  <c r="J205" i="24"/>
  <c r="N202" i="24"/>
  <c r="J100" i="24"/>
  <c r="N162" i="24"/>
  <c r="N173" i="24"/>
  <c r="N37" i="24"/>
  <c r="I18" i="23"/>
  <c r="O112" i="24"/>
  <c r="N206" i="24"/>
  <c r="E231" i="24"/>
  <c r="N214" i="24"/>
  <c r="O219" i="24"/>
  <c r="N199" i="24"/>
  <c r="N112" i="24"/>
  <c r="N219" i="24"/>
  <c r="D231" i="24"/>
  <c r="N64" i="24"/>
  <c r="N68" i="24"/>
  <c r="N33" i="23"/>
  <c r="N73" i="24"/>
  <c r="N145" i="24"/>
  <c r="N136" i="24"/>
  <c r="O136" i="24"/>
  <c r="N10" i="24"/>
  <c r="N14" i="24"/>
  <c r="N83" i="24"/>
  <c r="N208" i="24"/>
  <c r="O129" i="24"/>
  <c r="N106" i="24"/>
  <c r="O106" i="24"/>
  <c r="N80" i="24"/>
  <c r="O80" i="24"/>
  <c r="O44" i="24"/>
  <c r="N44" i="24"/>
  <c r="N29" i="24"/>
  <c r="H231" i="24"/>
  <c r="O20" i="24"/>
  <c r="O123" i="24"/>
  <c r="N123" i="24"/>
  <c r="N129" i="24"/>
  <c r="O90" i="24"/>
  <c r="N90" i="24"/>
  <c r="F36" i="24"/>
  <c r="N180" i="24"/>
  <c r="F172" i="24"/>
  <c r="F9" i="24"/>
  <c r="O101" i="24"/>
  <c r="N101" i="24"/>
  <c r="M12" i="23"/>
  <c r="M9" i="23" s="1"/>
  <c r="O37" i="24"/>
  <c r="J36" i="24"/>
  <c r="F100" i="24"/>
  <c r="O151" i="24"/>
  <c r="N151" i="24"/>
  <c r="M83" i="23"/>
  <c r="N21" i="23"/>
  <c r="M21" i="23"/>
  <c r="O199" i="24"/>
  <c r="N63" i="23"/>
  <c r="L12" i="23" l="1"/>
  <c r="L9" i="23" s="1"/>
  <c r="K9" i="23"/>
  <c r="L21" i="23"/>
  <c r="K18" i="23"/>
  <c r="I96" i="23"/>
  <c r="M18" i="23"/>
  <c r="N18" i="23"/>
  <c r="N205" i="24"/>
  <c r="O205" i="24"/>
  <c r="N36" i="24"/>
  <c r="N100" i="24"/>
  <c r="O36" i="24"/>
  <c r="N9" i="23"/>
  <c r="O100" i="24"/>
  <c r="O172" i="24"/>
  <c r="F231" i="24"/>
  <c r="N172" i="24"/>
  <c r="M82" i="23"/>
  <c r="N82" i="23"/>
  <c r="K96" i="23" l="1"/>
  <c r="L96" i="23" s="1"/>
  <c r="L18" i="23"/>
  <c r="M96" i="23"/>
  <c r="N96" i="23"/>
  <c r="N36" i="23" l="1"/>
  <c r="M36" i="23" l="1"/>
  <c r="G16" i="9"/>
  <c r="H16" i="9" l="1"/>
  <c r="M67" i="23" l="1"/>
  <c r="N67" i="23"/>
  <c r="N19" i="24" l="1"/>
  <c r="I231" i="24" l="1"/>
  <c r="M9" i="24"/>
  <c r="J9" i="24"/>
  <c r="O9" i="24"/>
  <c r="N9" i="24"/>
  <c r="M231" i="24" l="1"/>
  <c r="J231" i="24"/>
  <c r="N231" i="24"/>
  <c r="O231" i="24"/>
  <c r="F27" i="9" l="1"/>
  <c r="G27" i="9" l="1"/>
  <c r="H27" i="9"/>
  <c r="F18" i="9"/>
  <c r="I18" i="9" s="1"/>
  <c r="F15" i="9"/>
  <c r="G15" i="9" s="1"/>
  <c r="F20" i="9"/>
  <c r="H20" i="9" s="1"/>
  <c r="F30" i="9"/>
  <c r="G30" i="9" s="1"/>
  <c r="F13" i="9"/>
  <c r="G13" i="9" s="1"/>
  <c r="F17" i="9"/>
  <c r="H17" i="9" s="1"/>
  <c r="F26" i="9"/>
  <c r="G26" i="9" s="1"/>
  <c r="F28" i="9"/>
  <c r="G28" i="9" s="1"/>
  <c r="H18" i="9" l="1"/>
  <c r="G18" i="9"/>
  <c r="F24" i="9"/>
  <c r="I24" i="9" s="1"/>
  <c r="I28" i="9"/>
  <c r="I30" i="9"/>
  <c r="H28" i="9"/>
  <c r="I20" i="9"/>
  <c r="I13" i="9"/>
  <c r="F10" i="9"/>
  <c r="G20" i="9"/>
  <c r="H12" i="9"/>
  <c r="H13" i="9"/>
  <c r="H30" i="9"/>
  <c r="H15" i="9"/>
  <c r="H26" i="9"/>
  <c r="I26" i="9"/>
  <c r="I12" i="9"/>
  <c r="I17" i="9"/>
  <c r="I15" i="9"/>
  <c r="G17" i="9"/>
  <c r="G12" i="9"/>
  <c r="H24" i="9" l="1"/>
  <c r="F22" i="9"/>
  <c r="G22" i="9" s="1"/>
  <c r="G24" i="9"/>
  <c r="I10" i="9"/>
  <c r="H10" i="9"/>
  <c r="G10" i="9"/>
  <c r="H22" i="9" l="1"/>
  <c r="I22" i="9"/>
  <c r="F8" i="9"/>
  <c r="H8" i="9" s="1"/>
  <c r="I8" i="9" l="1"/>
  <c r="G8" i="9"/>
</calcChain>
</file>

<file path=xl/sharedStrings.xml><?xml version="1.0" encoding="utf-8"?>
<sst xmlns="http://schemas.openxmlformats.org/spreadsheetml/2006/main" count="787" uniqueCount="416">
  <si>
    <t>DETALLE</t>
  </si>
  <si>
    <t>ASIGNADO</t>
  </si>
  <si>
    <t xml:space="preserve"> </t>
  </si>
  <si>
    <t>%</t>
  </si>
  <si>
    <t>MODIFICADO</t>
  </si>
  <si>
    <t>T   O   T   A   L</t>
  </si>
  <si>
    <t>INGRESOS PROPIOS</t>
  </si>
  <si>
    <t xml:space="preserve">   VENTA DE SERVICIOS</t>
  </si>
  <si>
    <t xml:space="preserve">   OTROS SER. AUTOGESTION</t>
  </si>
  <si>
    <t xml:space="preserve">   MATRICULA-DERECHOS</t>
  </si>
  <si>
    <t xml:space="preserve">   OTROS - BIBLIOTECA</t>
  </si>
  <si>
    <t xml:space="preserve">   TASAS</t>
  </si>
  <si>
    <t xml:space="preserve">   INGRESOS VARIOS</t>
  </si>
  <si>
    <t>APORTE ESTATAL</t>
  </si>
  <si>
    <t>SALDO</t>
  </si>
  <si>
    <t>A LA FECHA</t>
  </si>
  <si>
    <t>ANUAL</t>
  </si>
  <si>
    <t>PRESUPUESTO</t>
  </si>
  <si>
    <t>MENSUAL</t>
  </si>
  <si>
    <t xml:space="preserve">  CODIFICACION PRESUPUESTARIA</t>
  </si>
  <si>
    <t xml:space="preserve">           RECAUDACION</t>
  </si>
  <si>
    <t>ACUMULADA</t>
  </si>
  <si>
    <t>Rec/Asig.</t>
  </si>
  <si>
    <t xml:space="preserve"> 1.2.1.4.07</t>
  </si>
  <si>
    <t xml:space="preserve"> 1.2.1.4.99</t>
  </si>
  <si>
    <t xml:space="preserve">   BIENESTAR ESTUDIANTIL</t>
  </si>
  <si>
    <t>1.2.1.4.99</t>
  </si>
  <si>
    <t>1.2.4.1.24</t>
  </si>
  <si>
    <t>1.2.4.1.99</t>
  </si>
  <si>
    <t>1.2.4.2.26</t>
  </si>
  <si>
    <t>1.2.6.0.99</t>
  </si>
  <si>
    <t>SALDO EN CAJA ( CORRIENTE )</t>
  </si>
  <si>
    <t>1.4.2.0.01</t>
  </si>
  <si>
    <t>SALDO EN CAJA ( CAPITAL )</t>
  </si>
  <si>
    <t>2.4.2.0.01</t>
  </si>
  <si>
    <t>TRANSFERENCIAS CORRIENTES</t>
  </si>
  <si>
    <t>1.2.3.1.07</t>
  </si>
  <si>
    <t>APORTE LIBRE</t>
  </si>
  <si>
    <t>I.D.A.A.N.</t>
  </si>
  <si>
    <t>CONTRIBUCION A LA S.S.</t>
  </si>
  <si>
    <t>TRANSFERENCIAS DE CAPITAL</t>
  </si>
  <si>
    <t>2.3.2.1.07</t>
  </si>
  <si>
    <t>OBJETO DEL GASTO</t>
  </si>
  <si>
    <t>EJECUCIÓN</t>
  </si>
  <si>
    <t>PAGADO ACUMUL.</t>
  </si>
  <si>
    <t>% EJEC/  ASIG</t>
  </si>
  <si>
    <t>LEY</t>
  </si>
  <si>
    <t>AJUSTE</t>
  </si>
  <si>
    <t>MODIFIC.</t>
  </si>
  <si>
    <t>ACUMUL.</t>
  </si>
  <si>
    <t xml:space="preserve"> FECHA</t>
  </si>
  <si>
    <t>0</t>
  </si>
  <si>
    <t>SERVICIOS PERSONALES</t>
  </si>
  <si>
    <t>000</t>
  </si>
  <si>
    <t>SUELDOS FIJOS</t>
  </si>
  <si>
    <t>001</t>
  </si>
  <si>
    <t>002</t>
  </si>
  <si>
    <t>SUELDO PERSONAL TRANS.</t>
  </si>
  <si>
    <t>003</t>
  </si>
  <si>
    <t>CONTINGENTE</t>
  </si>
  <si>
    <t>010</t>
  </si>
  <si>
    <t xml:space="preserve">SOBRESUELDOS </t>
  </si>
  <si>
    <t>011</t>
  </si>
  <si>
    <t>SOBRESUELDO POR ANTIG.</t>
  </si>
  <si>
    <t>013</t>
  </si>
  <si>
    <t>SOBRESUELDOS POR JEF.</t>
  </si>
  <si>
    <t>019</t>
  </si>
  <si>
    <t>OTROS SOBRESUELDOS</t>
  </si>
  <si>
    <t>030</t>
  </si>
  <si>
    <t>GASTOS DE REPRES.</t>
  </si>
  <si>
    <t>050</t>
  </si>
  <si>
    <t>XIII MES</t>
  </si>
  <si>
    <t>070</t>
  </si>
  <si>
    <t>CONTRIBUC. A LA S.S.</t>
  </si>
  <si>
    <t>071</t>
  </si>
  <si>
    <t>C.P. SEG. SOCIAL</t>
  </si>
  <si>
    <t>072</t>
  </si>
  <si>
    <t>C.P. SEG. EDUCATIVO</t>
  </si>
  <si>
    <t>073</t>
  </si>
  <si>
    <t>C.P. RIESGO PROF.</t>
  </si>
  <si>
    <t>074</t>
  </si>
  <si>
    <t>C.P. FDO COMPLEM.</t>
  </si>
  <si>
    <t>080</t>
  </si>
  <si>
    <t>OTROS SERV. PERSONALES</t>
  </si>
  <si>
    <t>090</t>
  </si>
  <si>
    <t>CR.REC.POR S. PERSONAL</t>
  </si>
  <si>
    <t>091</t>
  </si>
  <si>
    <t>CRED.REC.POR SUELDO</t>
  </si>
  <si>
    <t>092</t>
  </si>
  <si>
    <t>1</t>
  </si>
  <si>
    <t>SERV. NO PERSONALES</t>
  </si>
  <si>
    <t>ALQUILERES</t>
  </si>
  <si>
    <t>101</t>
  </si>
  <si>
    <t>DE EDIFICIOS</t>
  </si>
  <si>
    <t>102</t>
  </si>
  <si>
    <t>EQUIPO ELECTRONICO</t>
  </si>
  <si>
    <t>103</t>
  </si>
  <si>
    <t>EQUIPO DE OFICINA</t>
  </si>
  <si>
    <t>104</t>
  </si>
  <si>
    <t>ALQ. DE EQ. DE PROD.</t>
  </si>
  <si>
    <t>105</t>
  </si>
  <si>
    <t>ALQ. DE EQ. DE TRANSPORTE</t>
  </si>
  <si>
    <t>109</t>
  </si>
  <si>
    <t>OTROS ALQUILERES</t>
  </si>
  <si>
    <t>110</t>
  </si>
  <si>
    <t>SERVICIOS BASICOS</t>
  </si>
  <si>
    <t>111</t>
  </si>
  <si>
    <t>AGUA</t>
  </si>
  <si>
    <t>112</t>
  </si>
  <si>
    <t>ASEO</t>
  </si>
  <si>
    <t>113</t>
  </si>
  <si>
    <t>CORREO</t>
  </si>
  <si>
    <t>114</t>
  </si>
  <si>
    <t>ENERGIA ELECTRICA</t>
  </si>
  <si>
    <t>115</t>
  </si>
  <si>
    <t>TELECOMUNICACIONES</t>
  </si>
  <si>
    <t>120</t>
  </si>
  <si>
    <t>IMPRESOS Y ENCUADER.</t>
  </si>
  <si>
    <t>130</t>
  </si>
  <si>
    <t>INF.Y PUBLICIDAD</t>
  </si>
  <si>
    <t>131</t>
  </si>
  <si>
    <t>ANUNCIOS Y AVISOS</t>
  </si>
  <si>
    <t>OTROS GASTOS DE INF.</t>
  </si>
  <si>
    <t>140</t>
  </si>
  <si>
    <t>VIATICOS</t>
  </si>
  <si>
    <t>141</t>
  </si>
  <si>
    <t>DENTRO DEL PAIS</t>
  </si>
  <si>
    <t>142</t>
  </si>
  <si>
    <t>EN EL EXTERIOR</t>
  </si>
  <si>
    <t>A PERSONAS</t>
  </si>
  <si>
    <t>150</t>
  </si>
  <si>
    <t>TRANSPORTE</t>
  </si>
  <si>
    <t>151</t>
  </si>
  <si>
    <t>152</t>
  </si>
  <si>
    <t>DE OTRAS PERSONAS</t>
  </si>
  <si>
    <t>160</t>
  </si>
  <si>
    <t>S. COMERCIALES</t>
  </si>
  <si>
    <t>161</t>
  </si>
  <si>
    <t>ALMACENAJE</t>
  </si>
  <si>
    <t>164</t>
  </si>
  <si>
    <t>GASTOS DE SEGURO</t>
  </si>
  <si>
    <t>SERVICIOS ADUANEROS</t>
  </si>
  <si>
    <t>169</t>
  </si>
  <si>
    <t>OTROS SERVICIOS</t>
  </si>
  <si>
    <t>172</t>
  </si>
  <si>
    <t>SERVICIOS ESPECIALES</t>
  </si>
  <si>
    <t>180</t>
  </si>
  <si>
    <t>MANTO Y REPARACION</t>
  </si>
  <si>
    <t>MANT. Y REPARACION  EDIF.</t>
  </si>
  <si>
    <t>182</t>
  </si>
  <si>
    <t>189</t>
  </si>
  <si>
    <t>OTROS MANTENIMIENTO</t>
  </si>
  <si>
    <t>CR.REC.POR S. NO PERS.</t>
  </si>
  <si>
    <t>CRED.REC.POR Alquileres.</t>
  </si>
  <si>
    <t>CRED.REC.POR SERV. BAS.</t>
  </si>
  <si>
    <t>CRED.REC.POR VIÁTICOS</t>
  </si>
  <si>
    <t>CRED. REC. POR TRAN.DE PER</t>
  </si>
  <si>
    <t>CRED. REC. POR SERV. COM.</t>
  </si>
  <si>
    <t>CRED.REC.POR CONSULTORIAS</t>
  </si>
  <si>
    <t>CRED.REC. POR MANTO Y REP.</t>
  </si>
  <si>
    <t>2</t>
  </si>
  <si>
    <t>MATER.Y SUMINISTROS</t>
  </si>
  <si>
    <t>200</t>
  </si>
  <si>
    <t>ALIMENTOS Y BEBIDAS</t>
  </si>
  <si>
    <t>201</t>
  </si>
  <si>
    <t>PARA CONSUMO HUMANO</t>
  </si>
  <si>
    <t>203</t>
  </si>
  <si>
    <t>BEBIDAS</t>
  </si>
  <si>
    <t>209</t>
  </si>
  <si>
    <t>OTROS ALIMENTOS Y BEB.</t>
  </si>
  <si>
    <t>210</t>
  </si>
  <si>
    <t>TEXTILES Y VESTUARIOS</t>
  </si>
  <si>
    <t>211</t>
  </si>
  <si>
    <t>ACABADO TEXTIL</t>
  </si>
  <si>
    <t>212</t>
  </si>
  <si>
    <t>CALZADOS</t>
  </si>
  <si>
    <t>213</t>
  </si>
  <si>
    <t>HILADOS Y TELAS</t>
  </si>
  <si>
    <t>214</t>
  </si>
  <si>
    <t>PRENDAS DE VESTIR</t>
  </si>
  <si>
    <t>219</t>
  </si>
  <si>
    <t>OTROS TEXTILES</t>
  </si>
  <si>
    <t>220</t>
  </si>
  <si>
    <t>COMBUSTIBLES Y LUB.</t>
  </si>
  <si>
    <t>221</t>
  </si>
  <si>
    <t>DIESEL</t>
  </si>
  <si>
    <t>223</t>
  </si>
  <si>
    <t>GASOLINA</t>
  </si>
  <si>
    <t>224</t>
  </si>
  <si>
    <t>LUBRICANTES</t>
  </si>
  <si>
    <t>OTROS COMBUSTIBLES</t>
  </si>
  <si>
    <t>230</t>
  </si>
  <si>
    <t>PROD. DE PAPEL</t>
  </si>
  <si>
    <t>231</t>
  </si>
  <si>
    <t>IMPRESOS</t>
  </si>
  <si>
    <t>232</t>
  </si>
  <si>
    <t>PAPELERIA</t>
  </si>
  <si>
    <t>239</t>
  </si>
  <si>
    <t>OTROS PROD. DE PAPEL</t>
  </si>
  <si>
    <t>240</t>
  </si>
  <si>
    <t>OTROS PROD. QUIMICOS</t>
  </si>
  <si>
    <t>241</t>
  </si>
  <si>
    <t>ABONOS Y FERTILIZANTES</t>
  </si>
  <si>
    <t>242</t>
  </si>
  <si>
    <t>INSECT. FUMIGANTES Y OTROS</t>
  </si>
  <si>
    <t>243</t>
  </si>
  <si>
    <t>PINTURAS</t>
  </si>
  <si>
    <t>244</t>
  </si>
  <si>
    <t>PRODUCTOS MEDICINALES</t>
  </si>
  <si>
    <t>ARTICULOS FARMACEUTICOS</t>
  </si>
  <si>
    <t>249</t>
  </si>
  <si>
    <t>OTROS P. QUIMICOS</t>
  </si>
  <si>
    <t>250</t>
  </si>
  <si>
    <t>MAT. DE CONSTRUCCION</t>
  </si>
  <si>
    <t>252</t>
  </si>
  <si>
    <t>CEMENTO</t>
  </si>
  <si>
    <t>253</t>
  </si>
  <si>
    <t>MADERAS</t>
  </si>
  <si>
    <t>M. DE PLOMERIA</t>
  </si>
  <si>
    <t>255</t>
  </si>
  <si>
    <t>M. DE ELECTRICIDAD</t>
  </si>
  <si>
    <t>256</t>
  </si>
  <si>
    <t>M. METALICOS</t>
  </si>
  <si>
    <t>PIEDRA Y ARENA</t>
  </si>
  <si>
    <t>259</t>
  </si>
  <si>
    <t>OROS MATERIALES</t>
  </si>
  <si>
    <t>260</t>
  </si>
  <si>
    <t>PRODUCTOS VARIOS</t>
  </si>
  <si>
    <t>ARTICULOS PARA RECEPCION</t>
  </si>
  <si>
    <t>262</t>
  </si>
  <si>
    <t>HERRAM. E INST.</t>
  </si>
  <si>
    <t>265</t>
  </si>
  <si>
    <t>269</t>
  </si>
  <si>
    <t>OTROS P. VARIOS</t>
  </si>
  <si>
    <t>270</t>
  </si>
  <si>
    <t>UTILES DE M. DIVERSOS</t>
  </si>
  <si>
    <t>271</t>
  </si>
  <si>
    <t>UTILES DE COCINA Y COMEDOR</t>
  </si>
  <si>
    <t>272</t>
  </si>
  <si>
    <t>UTILES DEPORTIVOS</t>
  </si>
  <si>
    <t>273</t>
  </si>
  <si>
    <t>UTILES DE ASEO</t>
  </si>
  <si>
    <t>274</t>
  </si>
  <si>
    <t>UTILES DE LABORATORIOS</t>
  </si>
  <si>
    <t>275</t>
  </si>
  <si>
    <t>UTILES DE OFICINA</t>
  </si>
  <si>
    <t>INSTRUMENTOS MEDICOS</t>
  </si>
  <si>
    <t>ARTICULOS DE PROTESIS Y REHA.</t>
  </si>
  <si>
    <t>279</t>
  </si>
  <si>
    <t>OTROS U. Y MATERIALES</t>
  </si>
  <si>
    <t>280</t>
  </si>
  <si>
    <t>REPUESTOS</t>
  </si>
  <si>
    <t>CR.REC.POR MAT. Y SUM.</t>
  </si>
  <si>
    <t>CR.REC. POR ALIMENTOS</t>
  </si>
  <si>
    <t>CD.REC. COMB. Y LUB.</t>
  </si>
  <si>
    <t>CD.REC. PROD. VARIOS</t>
  </si>
  <si>
    <t>CRED.REC.UTILES Y MAT.</t>
  </si>
  <si>
    <t>3</t>
  </si>
  <si>
    <t>MAQUINARIA Y EQUIPO</t>
  </si>
  <si>
    <t>MAQ.Y EQ. DE PRODUCCION</t>
  </si>
  <si>
    <t>MAQ. Y EQ. TRANSPORTE</t>
  </si>
  <si>
    <t>EQUIPO DE LABORATORIO</t>
  </si>
  <si>
    <t>EQUIPO DE, LABORATORIO</t>
  </si>
  <si>
    <t>MOBILIARIO DE OFICINA</t>
  </si>
  <si>
    <t>MAQ. Y EQUIPOS VARIOS</t>
  </si>
  <si>
    <t>EQUIPO DE COMPUTACION</t>
  </si>
  <si>
    <t>INV. FINANCIERAS</t>
  </si>
  <si>
    <t>COMPRA DE EXISTENCIA</t>
  </si>
  <si>
    <t>OTRAS EXISTENCIAS</t>
  </si>
  <si>
    <t>CR. REC. INVERSIONES FIN.</t>
  </si>
  <si>
    <t>CR. REC.  COMPRA EXISTENCIA</t>
  </si>
  <si>
    <t>6</t>
  </si>
  <si>
    <t>TRANSFERECIAS CORR.</t>
  </si>
  <si>
    <t>600</t>
  </si>
  <si>
    <t>PENSIONES Y JUBILACIONES</t>
  </si>
  <si>
    <t>609</t>
  </si>
  <si>
    <t>610</t>
  </si>
  <si>
    <t>BECAS DE ESTUDIO</t>
  </si>
  <si>
    <t>ADIEST. Y ESTUDIOS</t>
  </si>
  <si>
    <t>640</t>
  </si>
  <si>
    <t>A INSTIT. PUBLICAS</t>
  </si>
  <si>
    <t>641</t>
  </si>
  <si>
    <t>A GOBIERNO CENTRAL</t>
  </si>
  <si>
    <t>660</t>
  </si>
  <si>
    <t>TRANSF. AL EXTERIOR</t>
  </si>
  <si>
    <t>661</t>
  </si>
  <si>
    <t>DONACIONES</t>
  </si>
  <si>
    <t>CUOTA  ORG. CENTROAM.</t>
  </si>
  <si>
    <t>663</t>
  </si>
  <si>
    <t>CUOTA  ORG. INTERAM.</t>
  </si>
  <si>
    <t>664</t>
  </si>
  <si>
    <t>CUOTA A ORG. MUNDIALES</t>
  </si>
  <si>
    <t>TOTAL FUNCIONAMIENTO</t>
  </si>
  <si>
    <t>163</t>
  </si>
  <si>
    <t>GASTOS JUDICIALES</t>
  </si>
  <si>
    <t>GAS</t>
  </si>
  <si>
    <t>Cred. Rec. Por sobresueldos</t>
  </si>
  <si>
    <t>099</t>
  </si>
  <si>
    <t>CRE.REC.POR Cont. Seguridad SOC.</t>
  </si>
  <si>
    <t>132</t>
  </si>
  <si>
    <t>PROMOCION Y PUBLICIDAD</t>
  </si>
  <si>
    <t>162</t>
  </si>
  <si>
    <t>MANT. Y REPARACION MAQ. OTROS</t>
  </si>
  <si>
    <t>MANT. Y REPARACION  MOBILIARIOS</t>
  </si>
  <si>
    <t>MANT. Y REPARACION  OBRAS</t>
  </si>
  <si>
    <t>OTRAS MAQ. Y EQ. TRANSPORTE</t>
  </si>
  <si>
    <t>622</t>
  </si>
  <si>
    <t>BECAS UNIVERSITARIAS</t>
  </si>
  <si>
    <t>MAQ. Y  EQ.  COMUNICACIONES</t>
  </si>
  <si>
    <t>DONATIVOS A PERSONAS</t>
  </si>
  <si>
    <t>096</t>
  </si>
  <si>
    <t>CRED.REC.POR DECIMO III</t>
  </si>
  <si>
    <t>CRED. REC. POR TRANSF.COM</t>
  </si>
  <si>
    <t>MANT. DE EQUIPOS DE COMP.</t>
  </si>
  <si>
    <t>MAQ. Y EQUIPO INDUSTRIAL</t>
  </si>
  <si>
    <t xml:space="preserve">MAQ. Y EQUIPO DE TALLERES </t>
  </si>
  <si>
    <t>DEUDA INTERNA</t>
  </si>
  <si>
    <t xml:space="preserve">COMISIONES, HONORARIOS </t>
  </si>
  <si>
    <t>TEXTOS DE ENSEÑANZAS</t>
  </si>
  <si>
    <t>OTRAS TRANSFERENCIAS</t>
  </si>
  <si>
    <t>CONSULTORIAS</t>
  </si>
  <si>
    <t>CONSULTORIAS Y SERV</t>
  </si>
  <si>
    <t>INDEMNIZ. POR RETIRO VOL.</t>
  </si>
  <si>
    <t>INDEMNIZ. ESPECIALES</t>
  </si>
  <si>
    <t>INTERESES SOBRE OBLIGACIONES.</t>
  </si>
  <si>
    <t>CRED.REC.POR REPUESTOS</t>
  </si>
  <si>
    <t>CR. REC.TRASNF. EXTERIOR</t>
  </si>
  <si>
    <t>MAQ. Y EQUIPO ACUEDUCTOS Y RIEGO</t>
  </si>
  <si>
    <t>Maq. Y Equipo Industrial</t>
  </si>
  <si>
    <t>Maq. Y Equipo de Talleres y Almacenes</t>
  </si>
  <si>
    <t>094</t>
  </si>
  <si>
    <t>CRED. REC. GASTOS E REPRES.</t>
  </si>
  <si>
    <t>CR.RECONOCIDO POR MAQ. Y EQ.</t>
  </si>
  <si>
    <t>INTERESES SOBRE PRESTAMOS DIREC.</t>
  </si>
  <si>
    <t>MAT. Y EQUIPO DE SEGURIDAD</t>
  </si>
  <si>
    <t>SERV. TRANSMISIÓN DE DATOS</t>
  </si>
  <si>
    <t>MAQ. Y EQUIPO DE ENERGIA</t>
  </si>
  <si>
    <t>004</t>
  </si>
  <si>
    <t>PERSONAL TRANSITORIO</t>
  </si>
  <si>
    <t>CONSTRUCCIONES POR CONTRATO</t>
  </si>
  <si>
    <t>EDIFICACIONES</t>
  </si>
  <si>
    <t>EDIFICIOS PARA EDUCACION</t>
  </si>
  <si>
    <t>VIAS DE COMUNICACIÓN</t>
  </si>
  <si>
    <t>TOTAL INVERSION</t>
  </si>
  <si>
    <t>OTROS MATERIALES</t>
  </si>
  <si>
    <t>MANT. Y REPARACIÓN MAQ. Y EQUIPO</t>
  </si>
  <si>
    <t>PRODUCTOS DE PAPEL Y CARTON</t>
  </si>
  <si>
    <t>PINTURAS, COLORANTES Y TINTES</t>
  </si>
  <si>
    <t>MATERIALES Y SUMINISTROS COMPUT.</t>
  </si>
  <si>
    <t>MAQUINARIA Y EQUIPO DE TRANSPORTE</t>
  </si>
  <si>
    <t>UNIVERSIDAD TECNOLÓGICA DE PANAMÁ</t>
  </si>
  <si>
    <t>BECAS DE ESTUDIOS</t>
  </si>
  <si>
    <t>ADIESTRAMIENTO Y ESTUDIOS</t>
  </si>
  <si>
    <t>MAQ. Y EQ. DE COMPUTACION</t>
  </si>
  <si>
    <t>CR. REC. BECAS DE ESTUDIO</t>
  </si>
  <si>
    <t>CD.REC. TEXTILES Y VESTUARIOS</t>
  </si>
  <si>
    <t>CD.REC.POR MATERIALES CONST.</t>
  </si>
  <si>
    <t>EQUIIPO MEDICO, LABORATORIOS</t>
  </si>
  <si>
    <t>INDEMNIZACIONES LABORALES</t>
  </si>
  <si>
    <t>DECIMO TERCER MES</t>
  </si>
  <si>
    <t>CONTRIBUCIÓN SEG. SOCIAL</t>
  </si>
  <si>
    <t>CUOTA PATRONAL SEG.EDUCATIVO</t>
  </si>
  <si>
    <t>RIESGO PROFESIONALES</t>
  </si>
  <si>
    <t>FONDO COMPLEMENTARIO</t>
  </si>
  <si>
    <t>081</t>
  </si>
  <si>
    <t>082</t>
  </si>
  <si>
    <t>089</t>
  </si>
  <si>
    <t>GRATIFICACIÓN O AGUINALDO</t>
  </si>
  <si>
    <t>INCENTIVOS</t>
  </si>
  <si>
    <t>OTROS SERVICIOS PERSONALES</t>
  </si>
  <si>
    <t>CUOTA PATRONAL DE SEGURO SOCIAL</t>
  </si>
  <si>
    <t>MANT. Y REPARACIÓN DE OBRAS</t>
  </si>
  <si>
    <t>UTILES E LABORATORIO</t>
  </si>
  <si>
    <t>MAQ. Y EQUIPO DE CONSTRUCCIÓN</t>
  </si>
  <si>
    <t>TRANSF.CORRIENTES A INSTITUCIONES PRIVADAS</t>
  </si>
  <si>
    <t>SUBSIDIOS CULTURALES Y CIENTIFICOS</t>
  </si>
  <si>
    <t>SERVICIOS COMERCIALES</t>
  </si>
  <si>
    <t>CREDITOS REC. POR MAQUINARIA Y EQUIPO</t>
  </si>
  <si>
    <t>098</t>
  </si>
  <si>
    <t>CRED REC. POR SERVICIOS ESP.</t>
  </si>
  <si>
    <t>SERVICIOS DE TELEFONÍA CELULAR</t>
  </si>
  <si>
    <t>CR.REC.PROD. QUIMICOS Y CONEXOS</t>
  </si>
  <si>
    <t>TRANSPORTE DE BIENES</t>
  </si>
  <si>
    <t>MATERIALES PARA CONSTRUCCION Y MANTO.</t>
  </si>
  <si>
    <t>Mal. Y EQUIPO DE ACUEDUTOS Y RIEGO</t>
  </si>
  <si>
    <t>Mal. Y EQUIPO DE TALLERES Y ALMACENES</t>
  </si>
  <si>
    <t>MATERIAL METÁLICO</t>
  </si>
  <si>
    <t>MATERIALES Y EQUIPO DE SEGURIDAD PÚBLICA</t>
  </si>
  <si>
    <t>UTILES Y MATERIALES DE OFICINA</t>
  </si>
  <si>
    <t>MAQUINARIA Y EQUIPO INDUSTRIAL</t>
  </si>
  <si>
    <t>MAT. Y SUMINISTROS DE COMP.</t>
  </si>
  <si>
    <t>MATERIAL DE PLOMERIA</t>
  </si>
  <si>
    <t>Mal Y EQUIPO DE ENERGIA</t>
  </si>
  <si>
    <t>ALIMENTO PARA ANIMALES</t>
  </si>
  <si>
    <t>INVERSIÓN FINANCIERA</t>
  </si>
  <si>
    <t>ADQUISICIÓN DE INMUEBLES</t>
  </si>
  <si>
    <t>reserva</t>
  </si>
  <si>
    <t>COMPROMISO</t>
  </si>
  <si>
    <t>RESERVA Y COMPROMISO</t>
  </si>
  <si>
    <t>OBJETO DE GASTO</t>
  </si>
  <si>
    <t xml:space="preserve">SALDO </t>
  </si>
  <si>
    <t xml:space="preserve">   EJECUCION PRESUPUESTARIA  DE FUNCIONAMIENTO </t>
  </si>
  <si>
    <t xml:space="preserve"> EJECUCION PRESUPUESTARIA  DE FUNCIONAMIENTO </t>
  </si>
  <si>
    <t>CUADRO A-6 NIVEL DE OBJETO DE GASTO :AL 30 DE SEPTIEMBRE DE 2019</t>
  </si>
  <si>
    <t>OBRAS URBANICAS</t>
  </si>
  <si>
    <t>MONUMENTOS</t>
  </si>
  <si>
    <t>PIEDRAS Y ARENA</t>
  </si>
  <si>
    <t>OTROA MANTENIMIENTOS Y REPARACIÓN</t>
  </si>
  <si>
    <t>OTROS UTILES Y MATERIALES</t>
  </si>
  <si>
    <t>TRANSFERENCIAS CORR.</t>
  </si>
  <si>
    <t xml:space="preserve"> NIVEL DE OBJETO DE GASTO :AL 30 DE DICIEMBRE DE 2019</t>
  </si>
  <si>
    <t xml:space="preserve">      A NIVEL DE OBJETO DE GASTO :AL 30 DE DICIEMBRE DE 2019</t>
  </si>
  <si>
    <t>AL 30 DE DICIEMBRE DE 2019</t>
  </si>
  <si>
    <t xml:space="preserve"> EJECUCION PRESUPUESTARIA  DE INVERSIONES</t>
  </si>
  <si>
    <t>CPMISIONES Y GASTOS BANCARIOS</t>
  </si>
  <si>
    <t xml:space="preserve"> EJECUCION DE INGRESOS SEGÚN OBJETO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</si>
</sst>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€]#,##0.00\ ;[$€]\(#,##0.00\);[$€]\-#\ ;@\ "/>
    <numFmt numFmtId="165" formatCode="#,##0\ ;\(#,##0\)"/>
    <numFmt numFmtId="166" formatCode="0.0"/>
    <numFmt numFmtId="171" formatCode="0.00\ "/>
    <numFmt numFmtId="177" formatCode="#,##0\ ;[Red]\-#,##0\ "/>
    <numFmt numFmtId="178" formatCode="0.00\ ;[Red]\-0.00\ "/>
  </numFmts>
  <fonts count="41" x14ac:knownFonts="1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18"/>
      <name val="Franklin Gothic Book"/>
      <family val="2"/>
    </font>
    <font>
      <sz val="10"/>
      <name val="Arial"/>
      <family val="2"/>
    </font>
    <font>
      <sz val="10"/>
      <name val="Franklin Gothic Book"/>
      <family val="2"/>
    </font>
    <font>
      <b/>
      <sz val="8"/>
      <name val="Franklin Gothic Book"/>
      <family val="2"/>
    </font>
    <font>
      <sz val="10"/>
      <color rgb="FF002060"/>
      <name val="Arial"/>
      <family val="2"/>
    </font>
    <font>
      <b/>
      <sz val="9"/>
      <color rgb="FF002060"/>
      <name val="Bookman Old Style"/>
      <family val="1"/>
    </font>
    <font>
      <sz val="9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b/>
      <sz val="9"/>
      <color theme="4" tint="-0.499984740745262"/>
      <name val="Franklin Gothic Book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Georgia"/>
      <family val="1"/>
    </font>
    <font>
      <b/>
      <sz val="11"/>
      <color theme="1"/>
      <name val="Arial"/>
      <family val="2"/>
    </font>
    <font>
      <b/>
      <sz val="9"/>
      <color theme="1"/>
      <name val="Bookman Old Style"/>
      <family val="1"/>
    </font>
    <font>
      <b/>
      <sz val="7"/>
      <color theme="1"/>
      <name val="Bookman Old Style"/>
      <family val="1"/>
    </font>
    <font>
      <sz val="9"/>
      <color theme="1"/>
      <name val="Bookman Old Style"/>
      <family val="1"/>
    </font>
    <font>
      <sz val="8"/>
      <color theme="1"/>
      <name val="Bookman Old Style"/>
      <family val="1"/>
    </font>
    <font>
      <sz val="7"/>
      <color theme="1"/>
      <name val="Bookman Old Style"/>
      <family val="1"/>
    </font>
    <font>
      <b/>
      <sz val="12"/>
      <color theme="1"/>
      <name val="Georgia"/>
      <family val="1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Book Antiqua"/>
      <family val="1"/>
    </font>
    <font>
      <b/>
      <sz val="11"/>
      <color theme="1"/>
      <name val="Book Antiqua"/>
      <family val="1"/>
    </font>
    <font>
      <b/>
      <sz val="10"/>
      <color theme="1"/>
      <name val="Book Antiqua"/>
      <family val="1"/>
    </font>
    <font>
      <b/>
      <sz val="10"/>
      <color theme="1"/>
      <name val="Lucida Fax"/>
      <family val="1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31"/>
      </patternFill>
    </fill>
    <fill>
      <patternFill patternType="solid">
        <fgColor theme="4" tint="0.59999389629810485"/>
        <bgColor indexed="64"/>
      </patternFill>
    </fill>
  </fills>
  <borders count="68">
    <border>
      <left/>
      <right/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/>
      <right/>
      <top/>
      <bottom style="thin">
        <color indexed="62"/>
      </bottom>
      <diagonal/>
    </border>
    <border>
      <left/>
      <right style="thin">
        <color indexed="62"/>
      </right>
      <top/>
      <bottom/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/>
      <right/>
      <top style="double">
        <color indexed="1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2"/>
      </left>
      <right style="thin">
        <color indexed="64"/>
      </right>
      <top/>
      <bottom/>
      <diagonal/>
    </border>
    <border>
      <left/>
      <right/>
      <top/>
      <bottom style="hair">
        <color indexed="62"/>
      </bottom>
      <diagonal/>
    </border>
    <border>
      <left style="thin">
        <color indexed="62"/>
      </left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2"/>
      </left>
      <right style="thin">
        <color indexed="62"/>
      </right>
      <top/>
      <bottom style="thin">
        <color indexed="64"/>
      </bottom>
      <diagonal/>
    </border>
    <border>
      <left style="thin">
        <color indexed="64"/>
      </left>
      <right style="thin">
        <color indexed="6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2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2"/>
      </top>
      <bottom/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indexed="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indexed="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indexed="64"/>
      </bottom>
      <diagonal/>
    </border>
    <border>
      <left/>
      <right/>
      <top/>
      <bottom style="thin">
        <color theme="3" tint="-0.499984740745262"/>
      </bottom>
      <diagonal/>
    </border>
    <border>
      <left/>
      <right style="thin">
        <color theme="3" tint="-0.499984740745262"/>
      </right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2"/>
      </top>
      <bottom/>
      <diagonal/>
    </border>
    <border>
      <left/>
      <right/>
      <top style="thin">
        <color indexed="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indexed="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hair">
        <color indexed="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hair">
        <color indexed="8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hair">
        <color theme="3" tint="-0.499984740745262"/>
      </bottom>
      <diagonal/>
    </border>
    <border>
      <left/>
      <right/>
      <top/>
      <bottom style="hair">
        <color theme="3" tint="-0.499984740745262"/>
      </bottom>
      <diagonal/>
    </border>
    <border>
      <left style="thin">
        <color theme="3" tint="-0.499984740745262"/>
      </left>
      <right/>
      <top/>
      <bottom style="thin">
        <color indexed="62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2"/>
      </top>
      <bottom style="thin">
        <color indexed="62"/>
      </bottom>
      <diagonal/>
    </border>
    <border>
      <left style="thin">
        <color theme="3" tint="-0.4999847407452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theme="3" tint="-0.499984740745262"/>
      </left>
      <right style="thin">
        <color indexed="62"/>
      </right>
      <top style="thin">
        <color indexed="62"/>
      </top>
      <bottom/>
      <diagonal/>
    </border>
    <border>
      <left style="thin">
        <color theme="3" tint="-0.499984740745262"/>
      </left>
      <right style="thin">
        <color indexed="62"/>
      </right>
      <top/>
      <bottom/>
      <diagonal/>
    </border>
    <border>
      <left style="thin">
        <color theme="3" tint="-0.4999847407452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/>
      <diagonal/>
    </border>
    <border>
      <left/>
      <right style="thin">
        <color indexed="62"/>
      </right>
      <top/>
      <bottom style="thin">
        <color indexed="64"/>
      </bottom>
      <diagonal/>
    </border>
    <border>
      <left style="thin">
        <color theme="3" tint="-0.499984740745262"/>
      </left>
      <right style="thin">
        <color indexed="64"/>
      </right>
      <top/>
      <bottom/>
      <diagonal/>
    </border>
    <border>
      <left style="thin">
        <color theme="3" tint="-0.499984740745262"/>
      </left>
      <right style="thin">
        <color indexed="64"/>
      </right>
      <top/>
      <bottom style="thin">
        <color theme="3" tint="-0.499984740745262"/>
      </bottom>
      <diagonal/>
    </border>
    <border>
      <left style="thin">
        <color indexed="64"/>
      </left>
      <right style="thin">
        <color theme="3" tint="-0.4999847407452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theme="3" tint="-0.499984740745262"/>
      </right>
      <top/>
      <bottom/>
      <diagonal/>
    </border>
    <border>
      <left style="thin">
        <color indexed="64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rgb="FF002060"/>
      </left>
      <right style="thin">
        <color indexed="62"/>
      </right>
      <top/>
      <bottom/>
      <diagonal/>
    </border>
    <border>
      <left style="thin">
        <color theme="3" tint="-0.499984740745262"/>
      </left>
      <right style="thin">
        <color indexed="62"/>
      </right>
      <top/>
      <bottom style="thin">
        <color indexed="62"/>
      </bottom>
      <diagonal/>
    </border>
    <border>
      <left style="thin">
        <color theme="3" tint="-0.499984740745262"/>
      </left>
      <right/>
      <top style="thin">
        <color indexed="62"/>
      </top>
      <bottom/>
      <diagonal/>
    </border>
    <border>
      <left/>
      <right style="thin">
        <color theme="3" tint="-0.499984740745262"/>
      </right>
      <top style="thin">
        <color indexed="62"/>
      </top>
      <bottom/>
      <diagonal/>
    </border>
    <border>
      <left/>
      <right style="thin">
        <color theme="3" tint="-0.499984740745262"/>
      </right>
      <top/>
      <bottom style="thin">
        <color indexed="62"/>
      </bottom>
      <diagonal/>
    </border>
    <border>
      <left/>
      <right/>
      <top style="thin">
        <color indexed="62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2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2"/>
      </left>
      <right style="thin">
        <color theme="3" tint="-0.499984740745262"/>
      </right>
      <top/>
      <bottom style="thin">
        <color indexed="62"/>
      </bottom>
      <diagonal/>
    </border>
    <border>
      <left style="thin">
        <color indexed="62"/>
      </left>
      <right/>
      <top/>
      <bottom/>
      <diagonal/>
    </border>
  </borders>
  <cellStyleXfs count="2">
    <xf numFmtId="0" fontId="0" fillId="0" borderId="0"/>
    <xf numFmtId="164" fontId="9" fillId="0" borderId="0" applyFill="0" applyBorder="0" applyAlignment="0" applyProtection="0"/>
  </cellStyleXfs>
  <cellXfs count="314">
    <xf numFmtId="0" fontId="0" fillId="0" borderId="0" xfId="0"/>
    <xf numFmtId="3" fontId="0" fillId="0" borderId="0" xfId="0" applyNumberFormat="1"/>
    <xf numFmtId="0" fontId="0" fillId="0" borderId="0" xfId="0" applyBorder="1"/>
    <xf numFmtId="0" fontId="0" fillId="0" borderId="0" xfId="0" applyFont="1" applyBorder="1"/>
    <xf numFmtId="0" fontId="5" fillId="0" borderId="0" xfId="0" applyFont="1"/>
    <xf numFmtId="0" fontId="0" fillId="0" borderId="0" xfId="0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7" fillId="0" borderId="0" xfId="0" applyNumberFormat="1" applyFont="1" applyFill="1" applyBorder="1" applyProtection="1"/>
    <xf numFmtId="4" fontId="7" fillId="0" borderId="0" xfId="0" applyNumberFormat="1" applyFont="1" applyFill="1" applyBorder="1" applyProtection="1"/>
    <xf numFmtId="177" fontId="4" fillId="0" borderId="0" xfId="0" applyNumberFormat="1" applyFont="1" applyFill="1" applyBorder="1" applyProtection="1"/>
    <xf numFmtId="177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Protection="1"/>
    <xf numFmtId="4" fontId="6" fillId="0" borderId="7" xfId="0" applyNumberFormat="1" applyFont="1" applyFill="1" applyBorder="1" applyProtection="1"/>
    <xf numFmtId="0" fontId="10" fillId="0" borderId="0" xfId="0" applyFont="1"/>
    <xf numFmtId="3" fontId="8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Border="1"/>
    <xf numFmtId="0" fontId="12" fillId="3" borderId="0" xfId="0" applyFont="1" applyFill="1"/>
    <xf numFmtId="0" fontId="12" fillId="0" borderId="14" xfId="0" applyFont="1" applyBorder="1"/>
    <xf numFmtId="3" fontId="13" fillId="0" borderId="15" xfId="0" applyNumberFormat="1" applyFont="1" applyFill="1" applyBorder="1" applyProtection="1"/>
    <xf numFmtId="0" fontId="0" fillId="0" borderId="0" xfId="0" applyFont="1"/>
    <xf numFmtId="0" fontId="14" fillId="0" borderId="0" xfId="0" applyFont="1"/>
    <xf numFmtId="3" fontId="15" fillId="0" borderId="47" xfId="0" applyNumberFormat="1" applyFont="1" applyFill="1" applyBorder="1" applyProtection="1"/>
    <xf numFmtId="3" fontId="15" fillId="0" borderId="45" xfId="0" applyNumberFormat="1" applyFont="1" applyBorder="1"/>
    <xf numFmtId="3" fontId="14" fillId="0" borderId="47" xfId="0" applyNumberFormat="1" applyFont="1" applyBorder="1"/>
    <xf numFmtId="3" fontId="15" fillId="0" borderId="3" xfId="0" applyNumberFormat="1" applyFont="1" applyBorder="1"/>
    <xf numFmtId="3" fontId="15" fillId="0" borderId="47" xfId="0" applyNumberFormat="1" applyFont="1" applyBorder="1"/>
    <xf numFmtId="3" fontId="15" fillId="0" borderId="47" xfId="0" applyNumberFormat="1" applyFont="1" applyFill="1" applyBorder="1" applyAlignment="1"/>
    <xf numFmtId="3" fontId="14" fillId="0" borderId="3" xfId="0" applyNumberFormat="1" applyFont="1" applyBorder="1"/>
    <xf numFmtId="3" fontId="15" fillId="0" borderId="48" xfId="0" applyNumberFormat="1" applyFont="1" applyFill="1" applyBorder="1" applyProtection="1"/>
    <xf numFmtId="3" fontId="15" fillId="0" borderId="46" xfId="0" applyNumberFormat="1" applyFont="1" applyBorder="1"/>
    <xf numFmtId="177" fontId="15" fillId="0" borderId="0" xfId="0" applyNumberFormat="1" applyFont="1" applyFill="1" applyBorder="1" applyProtection="1"/>
    <xf numFmtId="166" fontId="16" fillId="0" borderId="0" xfId="0" applyNumberFormat="1" applyFont="1" applyBorder="1" applyAlignment="1">
      <alignment horizontal="right"/>
    </xf>
    <xf numFmtId="0" fontId="5" fillId="0" borderId="0" xfId="0" applyFont="1" applyBorder="1"/>
    <xf numFmtId="4" fontId="0" fillId="0" borderId="0" xfId="0" applyNumberFormat="1" applyBorder="1"/>
    <xf numFmtId="0" fontId="17" fillId="0" borderId="0" xfId="0" applyFont="1" applyBorder="1"/>
    <xf numFmtId="4" fontId="17" fillId="0" borderId="0" xfId="0" applyNumberFormat="1" applyFont="1" applyBorder="1"/>
    <xf numFmtId="4" fontId="17" fillId="0" borderId="0" xfId="0" applyNumberFormat="1" applyFont="1" applyFill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3" fontId="2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/>
    <xf numFmtId="0" fontId="21" fillId="5" borderId="64" xfId="0" applyFont="1" applyFill="1" applyBorder="1"/>
    <xf numFmtId="0" fontId="22" fillId="5" borderId="64" xfId="0" applyFont="1" applyFill="1" applyBorder="1" applyAlignment="1">
      <alignment horizontal="center"/>
    </xf>
    <xf numFmtId="0" fontId="20" fillId="5" borderId="64" xfId="0" applyFont="1" applyFill="1" applyBorder="1" applyAlignment="1">
      <alignment horizontal="center"/>
    </xf>
    <xf numFmtId="0" fontId="21" fillId="5" borderId="65" xfId="0" applyFont="1" applyFill="1" applyBorder="1"/>
    <xf numFmtId="0" fontId="22" fillId="5" borderId="65" xfId="0" applyFont="1" applyFill="1" applyBorder="1" applyAlignment="1">
      <alignment horizontal="center"/>
    </xf>
    <xf numFmtId="0" fontId="20" fillId="5" borderId="65" xfId="0" applyFont="1" applyFill="1" applyBorder="1" applyAlignment="1">
      <alignment horizontal="center"/>
    </xf>
    <xf numFmtId="3" fontId="22" fillId="0" borderId="50" xfId="0" applyNumberFormat="1" applyFont="1" applyBorder="1" applyAlignment="1" applyProtection="1">
      <alignment horizontal="left"/>
    </xf>
    <xf numFmtId="3" fontId="22" fillId="0" borderId="25" xfId="0" applyNumberFormat="1" applyFont="1" applyBorder="1" applyAlignment="1" applyProtection="1">
      <alignment horizontal="left"/>
    </xf>
    <xf numFmtId="3" fontId="22" fillId="0" borderId="25" xfId="0" applyNumberFormat="1" applyFont="1" applyFill="1" applyBorder="1" applyProtection="1"/>
    <xf numFmtId="49" fontId="21" fillId="0" borderId="50" xfId="0" applyNumberFormat="1" applyFont="1" applyBorder="1" applyAlignment="1" applyProtection="1">
      <alignment horizontal="left"/>
    </xf>
    <xf numFmtId="3" fontId="21" fillId="0" borderId="25" xfId="0" applyNumberFormat="1" applyFont="1" applyBorder="1" applyAlignment="1" applyProtection="1">
      <alignment horizontal="left"/>
    </xf>
    <xf numFmtId="3" fontId="21" fillId="0" borderId="25" xfId="0" applyNumberFormat="1" applyFont="1" applyFill="1" applyBorder="1" applyProtection="1"/>
    <xf numFmtId="3" fontId="21" fillId="0" borderId="25" xfId="0" applyNumberFormat="1" applyFont="1" applyFill="1" applyBorder="1" applyAlignment="1" applyProtection="1"/>
    <xf numFmtId="3" fontId="21" fillId="0" borderId="25" xfId="0" applyNumberFormat="1" applyFont="1" applyBorder="1"/>
    <xf numFmtId="49" fontId="22" fillId="0" borderId="50" xfId="0" applyNumberFormat="1" applyFont="1" applyBorder="1" applyAlignment="1" applyProtection="1">
      <alignment horizontal="left"/>
    </xf>
    <xf numFmtId="3" fontId="22" fillId="0" borderId="25" xfId="0" applyNumberFormat="1" applyFont="1" applyFill="1" applyBorder="1" applyAlignment="1" applyProtection="1"/>
    <xf numFmtId="3" fontId="22" fillId="0" borderId="50" xfId="0" applyNumberFormat="1" applyFont="1" applyFill="1" applyBorder="1" applyAlignment="1" applyProtection="1"/>
    <xf numFmtId="3" fontId="21" fillId="0" borderId="50" xfId="0" applyNumberFormat="1" applyFont="1" applyFill="1" applyBorder="1" applyAlignment="1" applyProtection="1"/>
    <xf numFmtId="3" fontId="21" fillId="0" borderId="50" xfId="0" applyNumberFormat="1" applyFont="1" applyFill="1" applyBorder="1" applyAlignment="1" applyProtection="1">
      <alignment horizontal="left"/>
    </xf>
    <xf numFmtId="3" fontId="21" fillId="0" borderId="50" xfId="0" applyNumberFormat="1" applyFont="1" applyBorder="1" applyAlignment="1" applyProtection="1">
      <alignment horizontal="left"/>
    </xf>
    <xf numFmtId="3" fontId="22" fillId="0" borderId="50" xfId="0" applyNumberFormat="1" applyFont="1" applyFill="1" applyBorder="1" applyAlignment="1" applyProtection="1">
      <alignment horizontal="left" vertical="center" wrapText="1"/>
    </xf>
    <xf numFmtId="3" fontId="22" fillId="0" borderId="25" xfId="0" applyNumberFormat="1" applyFont="1" applyFill="1" applyBorder="1" applyAlignment="1" applyProtection="1">
      <alignment vertical="center" wrapText="1"/>
    </xf>
    <xf numFmtId="3" fontId="22" fillId="0" borderId="25" xfId="0" applyNumberFormat="1" applyFont="1" applyFill="1" applyBorder="1" applyAlignment="1"/>
    <xf numFmtId="3" fontId="21" fillId="0" borderId="25" xfId="0" applyNumberFormat="1" applyFont="1" applyFill="1" applyBorder="1" applyAlignment="1" applyProtection="1">
      <alignment horizontal="left" vertical="center" wrapText="1"/>
    </xf>
    <xf numFmtId="3" fontId="21" fillId="0" borderId="25" xfId="0" applyNumberFormat="1" applyFont="1" applyFill="1" applyBorder="1" applyAlignment="1"/>
    <xf numFmtId="3" fontId="22" fillId="0" borderId="25" xfId="0" applyNumberFormat="1" applyFont="1" applyBorder="1"/>
    <xf numFmtId="3" fontId="22" fillId="0" borderId="50" xfId="0" applyNumberFormat="1" applyFont="1" applyFill="1" applyBorder="1" applyAlignment="1" applyProtection="1">
      <alignment horizontal="left"/>
    </xf>
    <xf numFmtId="3" fontId="21" fillId="0" borderId="51" xfId="0" applyNumberFormat="1" applyFont="1" applyBorder="1" applyAlignment="1" applyProtection="1">
      <alignment horizontal="left"/>
    </xf>
    <xf numFmtId="3" fontId="22" fillId="0" borderId="22" xfId="0" applyNumberFormat="1" applyFont="1" applyBorder="1" applyAlignment="1" applyProtection="1">
      <alignment horizontal="left"/>
    </xf>
    <xf numFmtId="3" fontId="22" fillId="0" borderId="22" xfId="0" applyNumberFormat="1" applyFont="1" applyFill="1" applyBorder="1" applyProtection="1"/>
    <xf numFmtId="3" fontId="22" fillId="0" borderId="27" xfId="0" applyNumberFormat="1" applyFont="1" applyFill="1" applyBorder="1" applyProtection="1"/>
    <xf numFmtId="171" fontId="21" fillId="0" borderId="0" xfId="0" applyNumberFormat="1" applyFont="1" applyBorder="1" applyAlignment="1" applyProtection="1">
      <alignment horizontal="left"/>
    </xf>
    <xf numFmtId="171" fontId="23" fillId="0" borderId="0" xfId="0" applyNumberFormat="1" applyFont="1" applyBorder="1" applyAlignment="1" applyProtection="1">
      <alignment horizontal="left"/>
    </xf>
    <xf numFmtId="3" fontId="22" fillId="0" borderId="0" xfId="0" applyNumberFormat="1" applyFont="1" applyFill="1" applyBorder="1" applyProtection="1"/>
    <xf numFmtId="0" fontId="24" fillId="0" borderId="0" xfId="0" applyFont="1"/>
    <xf numFmtId="0" fontId="19" fillId="0" borderId="0" xfId="0" applyFont="1"/>
    <xf numFmtId="3" fontId="19" fillId="0" borderId="0" xfId="0" applyNumberFormat="1" applyFont="1"/>
    <xf numFmtId="171" fontId="21" fillId="0" borderId="0" xfId="0" applyNumberFormat="1" applyFont="1" applyBorder="1" applyAlignment="1" applyProtection="1">
      <alignment horizontal="left"/>
    </xf>
    <xf numFmtId="49" fontId="21" fillId="0" borderId="0" xfId="0" applyNumberFormat="1" applyFont="1" applyBorder="1" applyAlignment="1" applyProtection="1">
      <alignment horizontal="left"/>
    </xf>
    <xf numFmtId="3" fontId="22" fillId="0" borderId="6" xfId="0" applyNumberFormat="1" applyFont="1" applyFill="1" applyBorder="1" applyProtection="1"/>
    <xf numFmtId="0" fontId="19" fillId="0" borderId="0" xfId="0" applyFont="1" applyBorder="1"/>
    <xf numFmtId="0" fontId="24" fillId="0" borderId="0" xfId="0" applyFont="1" applyBorder="1"/>
    <xf numFmtId="3" fontId="25" fillId="0" borderId="0" xfId="0" applyNumberFormat="1" applyFont="1" applyFill="1" applyBorder="1" applyProtection="1"/>
    <xf numFmtId="0" fontId="26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4" borderId="49" xfId="0" applyFont="1" applyFill="1" applyBorder="1" applyAlignment="1">
      <alignment horizontal="center" vertical="center"/>
    </xf>
    <xf numFmtId="0" fontId="28" fillId="4" borderId="40" xfId="0" applyFont="1" applyFill="1" applyBorder="1" applyAlignment="1">
      <alignment horizontal="center" vertical="center"/>
    </xf>
    <xf numFmtId="171" fontId="28" fillId="4" borderId="40" xfId="0" applyNumberFormat="1" applyFont="1" applyFill="1" applyBorder="1" applyAlignment="1" applyProtection="1">
      <alignment horizontal="center" vertical="center" wrapText="1"/>
    </xf>
    <xf numFmtId="3" fontId="28" fillId="4" borderId="40" xfId="0" applyNumberFormat="1" applyFont="1" applyFill="1" applyBorder="1" applyAlignment="1" applyProtection="1">
      <alignment horizontal="center" vertical="center" wrapText="1"/>
    </xf>
    <xf numFmtId="3" fontId="28" fillId="4" borderId="30" xfId="0" applyNumberFormat="1" applyFont="1" applyFill="1" applyBorder="1" applyAlignment="1" applyProtection="1">
      <alignment horizontal="center" vertical="center" wrapText="1"/>
    </xf>
    <xf numFmtId="49" fontId="28" fillId="4" borderId="41" xfId="0" applyNumberFormat="1" applyFont="1" applyFill="1" applyBorder="1" applyAlignment="1">
      <alignment horizontal="center" vertical="center" wrapText="1"/>
    </xf>
    <xf numFmtId="3" fontId="28" fillId="4" borderId="25" xfId="0" applyNumberFormat="1" applyFont="1" applyFill="1" applyBorder="1" applyAlignment="1" applyProtection="1">
      <alignment horizontal="center" vertical="center" wrapText="1"/>
    </xf>
    <xf numFmtId="0" fontId="28" fillId="4" borderId="26" xfId="0" applyFont="1" applyFill="1" applyBorder="1" applyAlignment="1">
      <alignment horizontal="center"/>
    </xf>
    <xf numFmtId="3" fontId="28" fillId="4" borderId="26" xfId="0" applyNumberFormat="1" applyFont="1" applyFill="1" applyBorder="1" applyAlignment="1">
      <alignment horizontal="center"/>
    </xf>
    <xf numFmtId="3" fontId="28" fillId="4" borderId="26" xfId="0" applyNumberFormat="1" applyFont="1" applyFill="1" applyBorder="1" applyAlignment="1" applyProtection="1">
      <alignment horizontal="center"/>
    </xf>
    <xf numFmtId="3" fontId="28" fillId="4" borderId="37" xfId="0" applyNumberFormat="1" applyFont="1" applyFill="1" applyBorder="1" applyAlignment="1" applyProtection="1">
      <alignment horizontal="center"/>
    </xf>
    <xf numFmtId="3" fontId="29" fillId="4" borderId="66" xfId="0" applyNumberFormat="1" applyFont="1" applyFill="1" applyBorder="1" applyAlignment="1">
      <alignment horizontal="center"/>
    </xf>
    <xf numFmtId="0" fontId="28" fillId="4" borderId="26" xfId="0" applyFont="1" applyFill="1" applyBorder="1" applyAlignment="1">
      <alignment horizontal="center" vertical="center" wrapText="1"/>
    </xf>
    <xf numFmtId="178" fontId="28" fillId="4" borderId="26" xfId="0" applyNumberFormat="1" applyFont="1" applyFill="1" applyBorder="1" applyAlignment="1">
      <alignment horizontal="center"/>
    </xf>
    <xf numFmtId="3" fontId="28" fillId="0" borderId="29" xfId="0" applyNumberFormat="1" applyFont="1" applyBorder="1" applyAlignment="1" applyProtection="1">
      <alignment horizontal="left"/>
    </xf>
    <xf numFmtId="3" fontId="28" fillId="0" borderId="25" xfId="0" applyNumberFormat="1" applyFont="1" applyBorder="1" applyAlignment="1" applyProtection="1">
      <alignment horizontal="left"/>
    </xf>
    <xf numFmtId="3" fontId="28" fillId="0" borderId="25" xfId="0" applyNumberFormat="1" applyFont="1" applyFill="1" applyBorder="1" applyProtection="1"/>
    <xf numFmtId="3" fontId="28" fillId="0" borderId="30" xfId="0" applyNumberFormat="1" applyFont="1" applyBorder="1"/>
    <xf numFmtId="2" fontId="28" fillId="0" borderId="42" xfId="0" applyNumberFormat="1" applyFont="1" applyBorder="1"/>
    <xf numFmtId="3" fontId="30" fillId="0" borderId="25" xfId="0" applyNumberFormat="1" applyFont="1" applyFill="1" applyBorder="1" applyProtection="1"/>
    <xf numFmtId="3" fontId="28" fillId="0" borderId="25" xfId="0" applyNumberFormat="1" applyFont="1" applyBorder="1"/>
    <xf numFmtId="2" fontId="28" fillId="0" borderId="43" xfId="0" applyNumberFormat="1" applyFont="1" applyBorder="1"/>
    <xf numFmtId="3" fontId="30" fillId="0" borderId="29" xfId="0" applyNumberFormat="1" applyFont="1" applyBorder="1" applyAlignment="1" applyProtection="1">
      <alignment horizontal="left"/>
    </xf>
    <xf numFmtId="3" fontId="30" fillId="0" borderId="25" xfId="0" applyNumberFormat="1" applyFont="1" applyBorder="1" applyAlignment="1" applyProtection="1">
      <alignment horizontal="left"/>
    </xf>
    <xf numFmtId="3" fontId="30" fillId="0" borderId="25" xfId="0" applyNumberFormat="1" applyFont="1" applyFill="1" applyBorder="1" applyAlignment="1" applyProtection="1"/>
    <xf numFmtId="3" fontId="30" fillId="0" borderId="25" xfId="0" applyNumberFormat="1" applyFont="1" applyBorder="1"/>
    <xf numFmtId="2" fontId="30" fillId="0" borderId="43" xfId="0" applyNumberFormat="1" applyFont="1" applyBorder="1"/>
    <xf numFmtId="49" fontId="30" fillId="0" borderId="29" xfId="0" applyNumberFormat="1" applyFont="1" applyBorder="1" applyAlignment="1" applyProtection="1">
      <alignment horizontal="left"/>
    </xf>
    <xf numFmtId="3" fontId="30" fillId="0" borderId="29" xfId="0" applyNumberFormat="1" applyFont="1" applyFill="1" applyBorder="1" applyAlignment="1" applyProtection="1"/>
    <xf numFmtId="3" fontId="28" fillId="0" borderId="29" xfId="0" applyNumberFormat="1" applyFont="1" applyFill="1" applyBorder="1" applyAlignment="1" applyProtection="1"/>
    <xf numFmtId="3" fontId="28" fillId="0" borderId="25" xfId="0" applyNumberFormat="1" applyFont="1" applyFill="1" applyBorder="1" applyAlignment="1" applyProtection="1"/>
    <xf numFmtId="3" fontId="30" fillId="0" borderId="29" xfId="0" applyNumberFormat="1" applyFont="1" applyFill="1" applyBorder="1" applyAlignment="1" applyProtection="1">
      <alignment horizontal="left"/>
    </xf>
    <xf numFmtId="0" fontId="28" fillId="4" borderId="19" xfId="0" applyFont="1" applyFill="1" applyBorder="1" applyAlignment="1">
      <alignment horizontal="center" vertical="center"/>
    </xf>
    <xf numFmtId="0" fontId="28" fillId="4" borderId="56" xfId="0" applyFont="1" applyFill="1" applyBorder="1" applyAlignment="1">
      <alignment horizontal="center" vertical="center"/>
    </xf>
    <xf numFmtId="171" fontId="28" fillId="4" borderId="55" xfId="0" applyNumberFormat="1" applyFont="1" applyFill="1" applyBorder="1" applyAlignment="1" applyProtection="1">
      <alignment horizontal="center" vertical="center" wrapText="1"/>
    </xf>
    <xf numFmtId="171" fontId="28" fillId="4" borderId="58" xfId="0" applyNumberFormat="1" applyFont="1" applyFill="1" applyBorder="1" applyAlignment="1" applyProtection="1">
      <alignment horizontal="center" vertical="center" wrapText="1"/>
    </xf>
    <xf numFmtId="171" fontId="28" fillId="4" borderId="56" xfId="0" applyNumberFormat="1" applyFont="1" applyFill="1" applyBorder="1" applyAlignment="1" applyProtection="1">
      <alignment horizontal="center" vertical="center" wrapText="1"/>
    </xf>
    <xf numFmtId="3" fontId="28" fillId="4" borderId="55" xfId="0" applyNumberFormat="1" applyFont="1" applyFill="1" applyBorder="1" applyAlignment="1" applyProtection="1">
      <alignment horizontal="center" vertical="center" wrapText="1"/>
    </xf>
    <xf numFmtId="3" fontId="28" fillId="4" borderId="56" xfId="0" applyNumberFormat="1" applyFont="1" applyFill="1" applyBorder="1" applyAlignment="1" applyProtection="1">
      <alignment horizontal="center" vertical="center" wrapText="1"/>
    </xf>
    <xf numFmtId="49" fontId="28" fillId="4" borderId="42" xfId="0" applyNumberFormat="1" applyFont="1" applyFill="1" applyBorder="1" applyAlignment="1">
      <alignment horizontal="center" vertical="center" wrapText="1"/>
    </xf>
    <xf numFmtId="0" fontId="28" fillId="4" borderId="59" xfId="0" applyFont="1" applyFill="1" applyBorder="1" applyAlignment="1">
      <alignment horizontal="center" vertical="center"/>
    </xf>
    <xf numFmtId="0" fontId="28" fillId="4" borderId="29" xfId="0" applyFont="1" applyFill="1" applyBorder="1" applyAlignment="1">
      <alignment horizontal="center" vertical="center"/>
    </xf>
    <xf numFmtId="171" fontId="28" fillId="4" borderId="37" xfId="0" applyNumberFormat="1" applyFont="1" applyFill="1" applyBorder="1" applyAlignment="1" applyProtection="1">
      <alignment horizontal="center" vertical="center" wrapText="1"/>
    </xf>
    <xf numFmtId="171" fontId="28" fillId="4" borderId="2" xfId="0" applyNumberFormat="1" applyFont="1" applyFill="1" applyBorder="1" applyAlignment="1" applyProtection="1">
      <alignment horizontal="center" vertical="center" wrapText="1"/>
    </xf>
    <xf numFmtId="171" fontId="28" fillId="4" borderId="57" xfId="0" applyNumberFormat="1" applyFont="1" applyFill="1" applyBorder="1" applyAlignment="1" applyProtection="1">
      <alignment horizontal="center" vertical="center" wrapText="1"/>
    </xf>
    <xf numFmtId="3" fontId="28" fillId="4" borderId="37" xfId="0" applyNumberFormat="1" applyFont="1" applyFill="1" applyBorder="1" applyAlignment="1" applyProtection="1">
      <alignment horizontal="center" vertical="center" wrapText="1"/>
    </xf>
    <xf numFmtId="3" fontId="28" fillId="4" borderId="57" xfId="0" applyNumberFormat="1" applyFont="1" applyFill="1" applyBorder="1" applyAlignment="1" applyProtection="1">
      <alignment horizontal="center" vertical="center" wrapText="1"/>
    </xf>
    <xf numFmtId="49" fontId="28" fillId="4" borderId="43" xfId="0" applyNumberFormat="1" applyFont="1" applyFill="1" applyBorder="1" applyAlignment="1">
      <alignment horizontal="center" vertical="center" wrapText="1"/>
    </xf>
    <xf numFmtId="0" fontId="28" fillId="4" borderId="60" xfId="0" applyFont="1" applyFill="1" applyBorder="1" applyAlignment="1">
      <alignment horizontal="center" vertical="center"/>
    </xf>
    <xf numFmtId="0" fontId="28" fillId="4" borderId="57" xfId="0" applyFont="1" applyFill="1" applyBorder="1" applyAlignment="1">
      <alignment horizontal="center" vertical="center"/>
    </xf>
    <xf numFmtId="3" fontId="28" fillId="4" borderId="26" xfId="0" applyNumberFormat="1" applyFont="1" applyFill="1" applyBorder="1" applyAlignment="1" applyProtection="1">
      <alignment horizontal="center" vertical="center" wrapText="1"/>
    </xf>
    <xf numFmtId="49" fontId="28" fillId="4" borderId="54" xfId="0" applyNumberFormat="1" applyFont="1" applyFill="1" applyBorder="1" applyAlignment="1">
      <alignment horizontal="center" vertical="center" wrapText="1"/>
    </xf>
    <xf numFmtId="0" fontId="25" fillId="0" borderId="25" xfId="0" applyFont="1" applyBorder="1"/>
    <xf numFmtId="0" fontId="31" fillId="0" borderId="25" xfId="0" applyFont="1" applyBorder="1"/>
    <xf numFmtId="3" fontId="28" fillId="0" borderId="29" xfId="0" applyNumberFormat="1" applyFont="1" applyFill="1" applyBorder="1" applyAlignment="1" applyProtection="1">
      <alignment horizontal="left" vertical="center" wrapText="1"/>
    </xf>
    <xf numFmtId="3" fontId="28" fillId="0" borderId="25" xfId="0" applyNumberFormat="1" applyFont="1" applyFill="1" applyBorder="1" applyAlignment="1" applyProtection="1">
      <alignment vertical="center" wrapText="1"/>
    </xf>
    <xf numFmtId="3" fontId="28" fillId="0" borderId="25" xfId="0" applyNumberFormat="1" applyFont="1" applyFill="1" applyBorder="1" applyAlignment="1"/>
    <xf numFmtId="3" fontId="30" fillId="0" borderId="25" xfId="0" applyNumberFormat="1" applyFont="1" applyFill="1" applyBorder="1" applyAlignment="1" applyProtection="1">
      <alignment horizontal="left" vertical="center" wrapText="1"/>
    </xf>
    <xf numFmtId="3" fontId="30" fillId="0" borderId="25" xfId="0" applyNumberFormat="1" applyFont="1" applyFill="1" applyBorder="1" applyAlignment="1"/>
    <xf numFmtId="3" fontId="28" fillId="0" borderId="0" xfId="0" applyNumberFormat="1" applyFont="1" applyBorder="1" applyAlignment="1" applyProtection="1">
      <alignment horizontal="left"/>
    </xf>
    <xf numFmtId="3" fontId="28" fillId="0" borderId="4" xfId="0" applyNumberFormat="1" applyFont="1" applyBorder="1" applyAlignment="1" applyProtection="1">
      <alignment horizontal="left"/>
    </xf>
    <xf numFmtId="3" fontId="28" fillId="0" borderId="4" xfId="0" applyNumberFormat="1" applyFont="1" applyFill="1" applyBorder="1" applyProtection="1"/>
    <xf numFmtId="3" fontId="28" fillId="0" borderId="10" xfId="0" applyNumberFormat="1" applyFont="1" applyFill="1" applyBorder="1" applyProtection="1"/>
    <xf numFmtId="3" fontId="28" fillId="0" borderId="16" xfId="0" applyNumberFormat="1" applyFont="1" applyFill="1" applyBorder="1" applyProtection="1"/>
    <xf numFmtId="3" fontId="28" fillId="0" borderId="52" xfId="0" applyNumberFormat="1" applyFont="1" applyFill="1" applyBorder="1" applyProtection="1"/>
    <xf numFmtId="3" fontId="28" fillId="0" borderId="4" xfId="0" applyNumberFormat="1" applyFont="1" applyBorder="1"/>
    <xf numFmtId="2" fontId="28" fillId="0" borderId="4" xfId="0" applyNumberFormat="1" applyFont="1" applyBorder="1"/>
    <xf numFmtId="3" fontId="30" fillId="0" borderId="0" xfId="0" applyNumberFormat="1" applyFont="1" applyBorder="1" applyAlignment="1" applyProtection="1">
      <alignment horizontal="left"/>
    </xf>
    <xf numFmtId="3" fontId="30" fillId="0" borderId="4" xfId="0" applyNumberFormat="1" applyFont="1" applyBorder="1" applyAlignment="1" applyProtection="1">
      <alignment horizontal="left"/>
    </xf>
    <xf numFmtId="3" fontId="30" fillId="0" borderId="4" xfId="0" applyNumberFormat="1" applyFont="1" applyFill="1" applyBorder="1" applyProtection="1"/>
    <xf numFmtId="3" fontId="30" fillId="0" borderId="10" xfId="0" applyNumberFormat="1" applyFont="1" applyFill="1" applyBorder="1" applyProtection="1"/>
    <xf numFmtId="3" fontId="30" fillId="0" borderId="16" xfId="0" applyNumberFormat="1" applyFont="1" applyBorder="1"/>
    <xf numFmtId="3" fontId="30" fillId="0" borderId="52" xfId="0" applyNumberFormat="1" applyFont="1" applyBorder="1"/>
    <xf numFmtId="3" fontId="30" fillId="0" borderId="4" xfId="0" applyNumberFormat="1" applyFont="1" applyBorder="1"/>
    <xf numFmtId="2" fontId="30" fillId="0" borderId="4" xfId="0" applyNumberFormat="1" applyFont="1" applyBorder="1"/>
    <xf numFmtId="3" fontId="30" fillId="0" borderId="0" xfId="0" applyNumberFormat="1" applyFont="1"/>
    <xf numFmtId="3" fontId="31" fillId="0" borderId="0" xfId="0" applyNumberFormat="1" applyFont="1" applyBorder="1" applyAlignment="1" applyProtection="1">
      <alignment horizontal="left"/>
    </xf>
    <xf numFmtId="3" fontId="31" fillId="0" borderId="4" xfId="0" applyNumberFormat="1" applyFont="1" applyBorder="1" applyAlignment="1" applyProtection="1">
      <alignment horizontal="left"/>
    </xf>
    <xf numFmtId="3" fontId="31" fillId="0" borderId="4" xfId="0" applyNumberFormat="1" applyFont="1" applyFill="1" applyBorder="1" applyProtection="1"/>
    <xf numFmtId="3" fontId="31" fillId="0" borderId="0" xfId="0" applyNumberFormat="1" applyFont="1"/>
    <xf numFmtId="3" fontId="31" fillId="0" borderId="4" xfId="0" applyNumberFormat="1" applyFont="1" applyBorder="1"/>
    <xf numFmtId="2" fontId="31" fillId="0" borderId="4" xfId="0" applyNumberFormat="1" applyFont="1" applyBorder="1"/>
    <xf numFmtId="3" fontId="32" fillId="0" borderId="0" xfId="0" applyNumberFormat="1" applyFont="1" applyBorder="1" applyAlignment="1" applyProtection="1">
      <alignment horizontal="left"/>
    </xf>
    <xf numFmtId="3" fontId="32" fillId="0" borderId="4" xfId="0" applyNumberFormat="1" applyFont="1" applyBorder="1" applyAlignment="1" applyProtection="1">
      <alignment horizontal="left"/>
    </xf>
    <xf numFmtId="3" fontId="32" fillId="0" borderId="4" xfId="0" applyNumberFormat="1" applyFont="1" applyFill="1" applyBorder="1" applyProtection="1"/>
    <xf numFmtId="3" fontId="32" fillId="0" borderId="0" xfId="0" applyNumberFormat="1" applyFont="1"/>
    <xf numFmtId="3" fontId="32" fillId="0" borderId="52" xfId="0" applyNumberFormat="1" applyFont="1" applyBorder="1"/>
    <xf numFmtId="3" fontId="32" fillId="0" borderId="4" xfId="0" applyNumberFormat="1" applyFont="1" applyBorder="1"/>
    <xf numFmtId="2" fontId="32" fillId="0" borderId="4" xfId="0" applyNumberFormat="1" applyFont="1" applyBorder="1"/>
    <xf numFmtId="3" fontId="28" fillId="0" borderId="67" xfId="0" applyNumberFormat="1" applyFont="1" applyFill="1" applyBorder="1" applyProtection="1"/>
    <xf numFmtId="3" fontId="30" fillId="0" borderId="0" xfId="0" applyNumberFormat="1" applyFont="1" applyFill="1" applyBorder="1" applyAlignment="1" applyProtection="1"/>
    <xf numFmtId="3" fontId="30" fillId="0" borderId="4" xfId="0" applyNumberFormat="1" applyFont="1" applyFill="1" applyBorder="1" applyAlignment="1" applyProtection="1"/>
    <xf numFmtId="3" fontId="30" fillId="0" borderId="16" xfId="0" applyNumberFormat="1" applyFont="1" applyFill="1" applyBorder="1" applyProtection="1"/>
    <xf numFmtId="3" fontId="30" fillId="0" borderId="0" xfId="0" applyNumberFormat="1" applyFont="1" applyFill="1" applyBorder="1" applyAlignment="1" applyProtection="1">
      <alignment horizontal="left"/>
    </xf>
    <xf numFmtId="3" fontId="30" fillId="0" borderId="52" xfId="0" applyNumberFormat="1" applyFont="1" applyFill="1" applyBorder="1" applyAlignment="1" applyProtection="1"/>
    <xf numFmtId="3" fontId="30" fillId="0" borderId="52" xfId="0" applyNumberFormat="1" applyFont="1" applyFill="1" applyBorder="1" applyProtection="1"/>
    <xf numFmtId="3" fontId="30" fillId="0" borderId="0" xfId="0" applyNumberFormat="1" applyFont="1" applyFill="1" applyBorder="1" applyProtection="1"/>
    <xf numFmtId="3" fontId="30" fillId="0" borderId="63" xfId="0" applyNumberFormat="1" applyFont="1" applyFill="1" applyBorder="1" applyProtection="1"/>
    <xf numFmtId="1" fontId="30" fillId="0" borderId="4" xfId="0" applyNumberFormat="1" applyFont="1" applyBorder="1"/>
    <xf numFmtId="3" fontId="28" fillId="0" borderId="0" xfId="0" applyNumberFormat="1" applyFont="1" applyFill="1" applyBorder="1" applyAlignment="1" applyProtection="1"/>
    <xf numFmtId="3" fontId="28" fillId="0" borderId="4" xfId="0" applyNumberFormat="1" applyFont="1" applyFill="1" applyBorder="1" applyAlignment="1" applyProtection="1"/>
    <xf numFmtId="3" fontId="28" fillId="0" borderId="52" xfId="0" applyNumberFormat="1" applyFont="1" applyBorder="1"/>
    <xf numFmtId="49" fontId="28" fillId="4" borderId="44" xfId="0" applyNumberFormat="1" applyFont="1" applyFill="1" applyBorder="1" applyAlignment="1">
      <alignment horizontal="center" vertical="center" wrapText="1"/>
    </xf>
    <xf numFmtId="3" fontId="30" fillId="0" borderId="1" xfId="0" applyNumberFormat="1" applyFont="1" applyBorder="1" applyAlignment="1" applyProtection="1">
      <alignment horizontal="left"/>
    </xf>
    <xf numFmtId="3" fontId="30" fillId="0" borderId="1" xfId="0" applyNumberFormat="1" applyFont="1" applyFill="1" applyBorder="1" applyProtection="1"/>
    <xf numFmtId="3" fontId="30" fillId="0" borderId="4" xfId="0" applyNumberFormat="1" applyFont="1" applyFill="1" applyBorder="1" applyAlignment="1" applyProtection="1">
      <alignment horizontal="right"/>
    </xf>
    <xf numFmtId="3" fontId="28" fillId="0" borderId="39" xfId="0" applyNumberFormat="1" applyFont="1" applyFill="1" applyBorder="1" applyProtection="1"/>
    <xf numFmtId="3" fontId="28" fillId="0" borderId="53" xfId="0" applyNumberFormat="1" applyFont="1" applyFill="1" applyBorder="1" applyProtection="1"/>
    <xf numFmtId="3" fontId="30" fillId="0" borderId="38" xfId="0" applyNumberFormat="1" applyFont="1" applyBorder="1"/>
    <xf numFmtId="3" fontId="30" fillId="0" borderId="39" xfId="0" applyNumberFormat="1" applyFont="1" applyBorder="1"/>
    <xf numFmtId="3" fontId="30" fillId="0" borderId="38" xfId="0" applyNumberFormat="1" applyFont="1" applyFill="1" applyBorder="1" applyProtection="1"/>
    <xf numFmtId="3" fontId="30" fillId="0" borderId="39" xfId="0" applyNumberFormat="1" applyFont="1" applyFill="1" applyBorder="1" applyProtection="1"/>
    <xf numFmtId="3" fontId="30" fillId="0" borderId="8" xfId="0" applyNumberFormat="1" applyFont="1" applyBorder="1" applyAlignment="1" applyProtection="1">
      <alignment horizontal="left"/>
    </xf>
    <xf numFmtId="3" fontId="30" fillId="0" borderId="3" xfId="0" applyNumberFormat="1" applyFont="1" applyFill="1" applyBorder="1" applyProtection="1"/>
    <xf numFmtId="3" fontId="28" fillId="0" borderId="8" xfId="0" applyNumberFormat="1" applyFont="1" applyFill="1" applyBorder="1" applyAlignment="1" applyProtection="1"/>
    <xf numFmtId="3" fontId="28" fillId="0" borderId="3" xfId="0" applyNumberFormat="1" applyFont="1" applyFill="1" applyBorder="1" applyProtection="1"/>
    <xf numFmtId="3" fontId="28" fillId="0" borderId="38" xfId="0" applyNumberFormat="1" applyFont="1" applyFill="1" applyBorder="1" applyProtection="1"/>
    <xf numFmtId="3" fontId="30" fillId="0" borderId="0" xfId="0" applyNumberFormat="1" applyFont="1" applyBorder="1"/>
    <xf numFmtId="3" fontId="30" fillId="0" borderId="61" xfId="0" applyNumberFormat="1" applyFont="1" applyBorder="1"/>
    <xf numFmtId="3" fontId="28" fillId="0" borderId="61" xfId="0" applyNumberFormat="1" applyFont="1" applyFill="1" applyBorder="1" applyProtection="1"/>
    <xf numFmtId="2" fontId="30" fillId="0" borderId="61" xfId="0" applyNumberFormat="1" applyFont="1" applyBorder="1"/>
    <xf numFmtId="3" fontId="28" fillId="0" borderId="0" xfId="0" applyNumberFormat="1" applyFont="1" applyFill="1" applyBorder="1" applyAlignment="1" applyProtection="1">
      <alignment horizontal="left"/>
    </xf>
    <xf numFmtId="3" fontId="28" fillId="0" borderId="61" xfId="0" applyNumberFormat="1" applyFont="1" applyFill="1" applyBorder="1" applyAlignment="1" applyProtection="1"/>
    <xf numFmtId="3" fontId="28" fillId="0" borderId="61" xfId="0" applyNumberFormat="1" applyFont="1" applyBorder="1"/>
    <xf numFmtId="2" fontId="28" fillId="0" borderId="61" xfId="0" applyNumberFormat="1" applyFont="1" applyBorder="1"/>
    <xf numFmtId="3" fontId="30" fillId="0" borderId="61" xfId="0" applyNumberFormat="1" applyFont="1" applyBorder="1" applyAlignment="1" applyProtection="1">
      <alignment horizontal="left"/>
    </xf>
    <xf numFmtId="3" fontId="30" fillId="0" borderId="61" xfId="0" applyNumberFormat="1" applyFont="1" applyFill="1" applyBorder="1" applyProtection="1"/>
    <xf numFmtId="0" fontId="21" fillId="0" borderId="0" xfId="0" applyFont="1" applyBorder="1" applyAlignment="1">
      <alignment horizontal="left"/>
    </xf>
    <xf numFmtId="0" fontId="25" fillId="0" borderId="61" xfId="0" applyFont="1" applyBorder="1"/>
    <xf numFmtId="3" fontId="30" fillId="0" borderId="61" xfId="0" applyNumberFormat="1" applyFont="1" applyFill="1" applyBorder="1" applyAlignment="1" applyProtection="1"/>
    <xf numFmtId="3" fontId="30" fillId="0" borderId="0" xfId="0" applyNumberFormat="1" applyFont="1" applyBorder="1" applyAlignment="1">
      <alignment horizontal="left"/>
    </xf>
    <xf numFmtId="3" fontId="28" fillId="0" borderId="61" xfId="0" applyNumberFormat="1" applyFont="1" applyBorder="1" applyAlignment="1" applyProtection="1">
      <alignment horizontal="left"/>
    </xf>
    <xf numFmtId="3" fontId="29" fillId="0" borderId="0" xfId="0" applyNumberFormat="1" applyFont="1" applyFill="1" applyBorder="1" applyAlignment="1" applyProtection="1">
      <alignment horizontal="left"/>
    </xf>
    <xf numFmtId="3" fontId="29" fillId="0" borderId="0" xfId="0" applyNumberFormat="1" applyFont="1" applyFill="1" applyBorder="1" applyAlignment="1" applyProtection="1"/>
    <xf numFmtId="3" fontId="29" fillId="0" borderId="0" xfId="0" applyNumberFormat="1" applyFont="1" applyFill="1" applyBorder="1" applyProtection="1"/>
    <xf numFmtId="3" fontId="29" fillId="0" borderId="0" xfId="0" applyNumberFormat="1" applyFont="1" applyBorder="1"/>
    <xf numFmtId="3" fontId="32" fillId="0" borderId="0" xfId="0" applyNumberFormat="1" applyFont="1" applyBorder="1"/>
    <xf numFmtId="2" fontId="32" fillId="0" borderId="0" xfId="0" applyNumberFormat="1" applyFont="1" applyBorder="1"/>
    <xf numFmtId="0" fontId="29" fillId="4" borderId="13" xfId="0" applyFont="1" applyFill="1" applyBorder="1" applyAlignment="1">
      <alignment horizontal="center" vertical="center"/>
    </xf>
    <xf numFmtId="3" fontId="29" fillId="4" borderId="11" xfId="0" applyNumberFormat="1" applyFont="1" applyFill="1" applyBorder="1" applyAlignment="1" applyProtection="1">
      <alignment horizontal="center" vertical="center" wrapText="1"/>
    </xf>
    <xf numFmtId="49" fontId="29" fillId="4" borderId="12" xfId="0" applyNumberFormat="1" applyFont="1" applyFill="1" applyBorder="1" applyAlignment="1">
      <alignment horizontal="center" vertical="center" wrapText="1"/>
    </xf>
    <xf numFmtId="3" fontId="29" fillId="4" borderId="5" xfId="0" applyNumberFormat="1" applyFont="1" applyFill="1" applyBorder="1" applyAlignment="1">
      <alignment horizontal="center"/>
    </xf>
    <xf numFmtId="3" fontId="29" fillId="4" borderId="5" xfId="0" applyNumberFormat="1" applyFont="1" applyFill="1" applyBorder="1" applyAlignment="1" applyProtection="1">
      <alignment horizontal="center"/>
    </xf>
    <xf numFmtId="3" fontId="29" fillId="4" borderId="5" xfId="0" applyNumberFormat="1" applyFont="1" applyFill="1" applyBorder="1" applyAlignment="1">
      <alignment horizontal="center" vertical="center" wrapText="1"/>
    </xf>
    <xf numFmtId="3" fontId="28" fillId="0" borderId="19" xfId="0" applyNumberFormat="1" applyFont="1" applyFill="1" applyBorder="1" applyProtection="1"/>
    <xf numFmtId="3" fontId="28" fillId="0" borderId="17" xfId="0" applyNumberFormat="1" applyFont="1" applyFill="1" applyBorder="1" applyProtection="1"/>
    <xf numFmtId="3" fontId="30" fillId="0" borderId="17" xfId="0" applyNumberFormat="1" applyFont="1" applyFill="1" applyBorder="1" applyProtection="1"/>
    <xf numFmtId="3" fontId="30" fillId="0" borderId="17" xfId="0" applyNumberFormat="1" applyFont="1" applyBorder="1"/>
    <xf numFmtId="3" fontId="28" fillId="0" borderId="0" xfId="0" applyNumberFormat="1" applyFont="1"/>
    <xf numFmtId="3" fontId="28" fillId="0" borderId="17" xfId="0" applyNumberFormat="1" applyFont="1" applyBorder="1"/>
    <xf numFmtId="3" fontId="28" fillId="0" borderId="62" xfId="0" applyNumberFormat="1" applyFont="1" applyBorder="1"/>
    <xf numFmtId="3" fontId="28" fillId="0" borderId="0" xfId="0" applyNumberFormat="1" applyFont="1" applyBorder="1" applyAlignment="1">
      <alignment horizontal="left"/>
    </xf>
    <xf numFmtId="3" fontId="30" fillId="0" borderId="4" xfId="0" applyNumberFormat="1" applyFont="1" applyBorder="1" applyAlignment="1">
      <alignment horizontal="left"/>
    </xf>
    <xf numFmtId="3" fontId="28" fillId="0" borderId="10" xfId="0" applyNumberFormat="1" applyFont="1" applyBorder="1"/>
    <xf numFmtId="3" fontId="28" fillId="0" borderId="16" xfId="0" applyNumberFormat="1" applyFont="1" applyBorder="1"/>
    <xf numFmtId="3" fontId="30" fillId="0" borderId="10" xfId="0" applyNumberFormat="1" applyFont="1" applyBorder="1"/>
    <xf numFmtId="3" fontId="30" fillId="0" borderId="14" xfId="0" applyNumberFormat="1" applyFont="1" applyBorder="1" applyAlignment="1" applyProtection="1">
      <alignment horizontal="left"/>
    </xf>
    <xf numFmtId="3" fontId="28" fillId="0" borderId="15" xfId="0" applyNumberFormat="1" applyFont="1" applyBorder="1" applyAlignment="1" applyProtection="1">
      <alignment horizontal="left"/>
    </xf>
    <xf numFmtId="3" fontId="28" fillId="0" borderId="15" xfId="0" applyNumberFormat="1" applyFont="1" applyFill="1" applyBorder="1" applyProtection="1"/>
    <xf numFmtId="3" fontId="28" fillId="0" borderId="18" xfId="0" applyNumberFormat="1" applyFont="1" applyFill="1" applyBorder="1" applyProtection="1"/>
    <xf numFmtId="3" fontId="28" fillId="0" borderId="27" xfId="0" applyNumberFormat="1" applyFont="1" applyBorder="1"/>
    <xf numFmtId="3" fontId="28" fillId="0" borderId="15" xfId="0" applyNumberFormat="1" applyFont="1" applyBorder="1"/>
    <xf numFmtId="2" fontId="28" fillId="0" borderId="15" xfId="0" applyNumberFormat="1" applyFont="1" applyBorder="1"/>
    <xf numFmtId="0" fontId="25" fillId="0" borderId="0" xfId="0" applyFont="1"/>
    <xf numFmtId="3" fontId="25" fillId="0" borderId="0" xfId="0" applyNumberFormat="1" applyFont="1"/>
    <xf numFmtId="0" fontId="33" fillId="0" borderId="0" xfId="0" applyFont="1" applyBorder="1" applyAlignment="1">
      <alignment horizontal="center"/>
    </xf>
    <xf numFmtId="0" fontId="34" fillId="0" borderId="0" xfId="0" applyFont="1" applyBorder="1"/>
    <xf numFmtId="0" fontId="35" fillId="4" borderId="32" xfId="0" applyFont="1" applyFill="1" applyBorder="1" applyAlignment="1">
      <alignment horizontal="center" vertical="center" wrapText="1"/>
    </xf>
    <xf numFmtId="0" fontId="35" fillId="4" borderId="21" xfId="0" applyFont="1" applyFill="1" applyBorder="1" applyAlignment="1">
      <alignment horizontal="center" vertical="center" wrapText="1"/>
    </xf>
    <xf numFmtId="0" fontId="35" fillId="4" borderId="24" xfId="0" applyFont="1" applyFill="1" applyBorder="1" applyAlignment="1">
      <alignment horizontal="center"/>
    </xf>
    <xf numFmtId="0" fontId="35" fillId="4" borderId="20" xfId="0" applyFont="1" applyFill="1" applyBorder="1" applyAlignment="1">
      <alignment horizontal="center"/>
    </xf>
    <xf numFmtId="0" fontId="35" fillId="4" borderId="31" xfId="0" applyFont="1" applyFill="1" applyBorder="1" applyAlignment="1">
      <alignment horizontal="center" vertical="center" wrapText="1"/>
    </xf>
    <xf numFmtId="0" fontId="35" fillId="4" borderId="23" xfId="0" applyFont="1" applyFill="1" applyBorder="1" applyAlignment="1">
      <alignment horizontal="center" vertical="center" wrapText="1"/>
    </xf>
    <xf numFmtId="0" fontId="35" fillId="4" borderId="22" xfId="0" applyFont="1" applyFill="1" applyBorder="1" applyAlignment="1">
      <alignment horizontal="center"/>
    </xf>
    <xf numFmtId="0" fontId="35" fillId="4" borderId="28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5" xfId="0" applyFont="1" applyBorder="1" applyAlignment="1"/>
    <xf numFmtId="0" fontId="22" fillId="0" borderId="25" xfId="0" applyFont="1" applyBorder="1" applyAlignment="1">
      <alignment horizontal="left"/>
    </xf>
    <xf numFmtId="0" fontId="22" fillId="0" borderId="25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1" fillId="0" borderId="25" xfId="0" applyFont="1" applyBorder="1"/>
    <xf numFmtId="3" fontId="20" fillId="0" borderId="35" xfId="0" applyNumberFormat="1" applyFont="1" applyBorder="1"/>
    <xf numFmtId="165" fontId="22" fillId="0" borderId="35" xfId="0" applyNumberFormat="1" applyFont="1" applyBorder="1"/>
    <xf numFmtId="165" fontId="22" fillId="0" borderId="35" xfId="0" applyNumberFormat="1" applyFont="1" applyBorder="1" applyAlignment="1">
      <alignment horizontal="right"/>
    </xf>
    <xf numFmtId="166" fontId="20" fillId="0" borderId="36" xfId="0" applyNumberFormat="1" applyFont="1" applyBorder="1"/>
    <xf numFmtId="0" fontId="37" fillId="0" borderId="0" xfId="0" applyFont="1" applyBorder="1" applyAlignment="1">
      <alignment horizontal="center"/>
    </xf>
    <xf numFmtId="0" fontId="19" fillId="0" borderId="25" xfId="0" applyFont="1" applyBorder="1"/>
    <xf numFmtId="3" fontId="20" fillId="0" borderId="25" xfId="0" applyNumberFormat="1" applyFont="1" applyBorder="1"/>
    <xf numFmtId="165" fontId="20" fillId="0" borderId="25" xfId="0" applyNumberFormat="1" applyFont="1" applyBorder="1"/>
    <xf numFmtId="165" fontId="20" fillId="0" borderId="25" xfId="0" applyNumberFormat="1" applyFont="1" applyBorder="1" applyAlignment="1">
      <alignment horizontal="right"/>
    </xf>
    <xf numFmtId="166" fontId="19" fillId="0" borderId="0" xfId="0" applyNumberFormat="1" applyFont="1" applyBorder="1"/>
    <xf numFmtId="0" fontId="38" fillId="0" borderId="0" xfId="0" applyFont="1" applyBorder="1" applyAlignment="1">
      <alignment horizontal="center"/>
    </xf>
    <xf numFmtId="165" fontId="20" fillId="0" borderId="35" xfId="0" applyNumberFormat="1" applyFont="1" applyBorder="1"/>
    <xf numFmtId="165" fontId="20" fillId="0" borderId="35" xfId="0" applyNumberFormat="1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0" fillId="0" borderId="25" xfId="0" applyFont="1" applyBorder="1" applyAlignment="1">
      <alignment horizontal="center"/>
    </xf>
    <xf numFmtId="3" fontId="19" fillId="0" borderId="25" xfId="0" applyNumberFormat="1" applyFont="1" applyBorder="1"/>
    <xf numFmtId="165" fontId="19" fillId="0" borderId="25" xfId="0" applyNumberFormat="1" applyFont="1" applyBorder="1" applyAlignment="1">
      <alignment horizontal="right"/>
    </xf>
    <xf numFmtId="0" fontId="25" fillId="0" borderId="0" xfId="0" applyFont="1" applyBorder="1"/>
    <xf numFmtId="165" fontId="19" fillId="0" borderId="25" xfId="0" applyNumberFormat="1" applyFont="1" applyBorder="1" applyAlignment="1"/>
    <xf numFmtId="3" fontId="19" fillId="0" borderId="25" xfId="0" applyNumberFormat="1" applyFont="1" applyBorder="1" applyAlignment="1">
      <alignment horizontal="right"/>
    </xf>
    <xf numFmtId="0" fontId="19" fillId="0" borderId="25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3" fontId="20" fillId="0" borderId="33" xfId="0" applyNumberFormat="1" applyFont="1" applyBorder="1"/>
    <xf numFmtId="165" fontId="20" fillId="0" borderId="34" xfId="0" applyNumberFormat="1" applyFont="1" applyBorder="1" applyAlignment="1">
      <alignment horizontal="right"/>
    </xf>
    <xf numFmtId="166" fontId="20" fillId="0" borderId="9" xfId="0" applyNumberFormat="1" applyFont="1" applyBorder="1"/>
    <xf numFmtId="0" fontId="19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166" fontId="20" fillId="0" borderId="0" xfId="0" applyNumberFormat="1" applyFont="1" applyBorder="1"/>
    <xf numFmtId="0" fontId="21" fillId="0" borderId="0" xfId="0" applyFont="1" applyBorder="1"/>
    <xf numFmtId="3" fontId="19" fillId="2" borderId="25" xfId="0" applyNumberFormat="1" applyFont="1" applyFill="1" applyBorder="1"/>
    <xf numFmtId="37" fontId="19" fillId="0" borderId="25" xfId="0" applyNumberFormat="1" applyFont="1" applyBorder="1"/>
    <xf numFmtId="165" fontId="19" fillId="0" borderId="25" xfId="0" applyNumberFormat="1" applyFont="1" applyBorder="1"/>
    <xf numFmtId="3" fontId="20" fillId="2" borderId="25" xfId="0" applyNumberFormat="1" applyFont="1" applyFill="1" applyBorder="1"/>
    <xf numFmtId="0" fontId="19" fillId="0" borderId="28" xfId="0" applyFont="1" applyBorder="1"/>
    <xf numFmtId="0" fontId="20" fillId="0" borderId="22" xfId="0" applyFont="1" applyBorder="1" applyAlignment="1">
      <alignment horizontal="center"/>
    </xf>
    <xf numFmtId="3" fontId="19" fillId="0" borderId="22" xfId="0" applyNumberFormat="1" applyFont="1" applyBorder="1"/>
    <xf numFmtId="37" fontId="19" fillId="0" borderId="22" xfId="0" applyNumberFormat="1" applyFont="1" applyBorder="1"/>
    <xf numFmtId="165" fontId="19" fillId="0" borderId="22" xfId="0" applyNumberFormat="1" applyFont="1" applyBorder="1"/>
    <xf numFmtId="166" fontId="19" fillId="0" borderId="28" xfId="0" applyNumberFormat="1" applyFont="1" applyBorder="1"/>
    <xf numFmtId="0" fontId="20" fillId="0" borderId="0" xfId="0" applyFont="1"/>
    <xf numFmtId="0" fontId="34" fillId="0" borderId="0" xfId="0" applyFont="1"/>
    <xf numFmtId="0" fontId="40" fillId="0" borderId="0" xfId="0" applyFont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2323DC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99"/>
      <color rgb="FF062948"/>
      <color rgb="FFFFFFCC"/>
      <color rgb="FFFFCCFF"/>
      <color rgb="FF0066CC"/>
      <color rgb="FF0033CC"/>
      <color rgb="FF000099"/>
      <color rgb="FF0000CC"/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123825</xdr:rowOff>
    </xdr:to>
    <xdr:sp macro="" textlink="">
      <xdr:nvSpPr>
        <xdr:cNvPr id="84900" name="Line 1"/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123825</xdr:rowOff>
    </xdr:to>
    <xdr:sp macro="" textlink="">
      <xdr:nvSpPr>
        <xdr:cNvPr id="84901" name="Line 1"/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123825</xdr:rowOff>
    </xdr:to>
    <xdr:sp macro="" textlink="">
      <xdr:nvSpPr>
        <xdr:cNvPr id="84902" name="Line 1"/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123825</xdr:rowOff>
    </xdr:to>
    <xdr:sp macro="" textlink="">
      <xdr:nvSpPr>
        <xdr:cNvPr id="84903" name="Line 1"/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123825</xdr:rowOff>
    </xdr:to>
    <xdr:sp macro="" textlink="">
      <xdr:nvSpPr>
        <xdr:cNvPr id="84904" name="Line 1"/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123825</xdr:rowOff>
    </xdr:to>
    <xdr:sp macro="" textlink="">
      <xdr:nvSpPr>
        <xdr:cNvPr id="84905" name="Line 1"/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pre05\COPIA%20MAYRA\EJECUCION%20PRESUP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6" tint="0.39997558519241921"/>
  </sheetPr>
  <dimension ref="A1:U33"/>
  <sheetViews>
    <sheetView showGridLines="0" showZeros="0" tabSelected="1" zoomScaleNormal="100" workbookViewId="0">
      <selection activeCell="U12" sqref="U12"/>
    </sheetView>
  </sheetViews>
  <sheetFormatPr baseColWidth="10" defaultColWidth="11.42578125" defaultRowHeight="12.75" x14ac:dyDescent="0.2"/>
  <cols>
    <col min="1" max="1" width="23.28515625" style="80" customWidth="1"/>
    <col min="2" max="2" width="14.42578125" style="80" customWidth="1"/>
    <col min="3" max="3" width="13.28515625" style="80" customWidth="1"/>
    <col min="4" max="4" width="11.42578125" style="80" hidden="1" customWidth="1"/>
    <col min="5" max="5" width="13.7109375" style="80" bestFit="1" customWidth="1"/>
    <col min="6" max="6" width="11.42578125" style="80"/>
    <col min="7" max="7" width="12.140625" style="80" customWidth="1"/>
    <col min="8" max="8" width="12.5703125" style="80" hidden="1" customWidth="1"/>
    <col min="9" max="9" width="10.140625" style="80" customWidth="1"/>
    <col min="10" max="10" width="0.140625" customWidth="1"/>
    <col min="11" max="13" width="0" hidden="1" customWidth="1"/>
    <col min="14" max="14" width="22.42578125" bestFit="1" customWidth="1"/>
    <col min="16" max="16" width="1.42578125" customWidth="1"/>
    <col min="17" max="17" width="3.140625" customWidth="1"/>
    <col min="18" max="18" width="0.42578125" customWidth="1"/>
    <col min="19" max="19" width="1.5703125" customWidth="1"/>
    <col min="20" max="20" width="0.42578125" customWidth="1"/>
  </cols>
  <sheetData>
    <row r="1" spans="1:21" ht="15.75" customHeight="1" x14ac:dyDescent="0.25">
      <c r="A1" s="313" t="s">
        <v>350</v>
      </c>
      <c r="B1" s="313"/>
      <c r="C1" s="313"/>
      <c r="D1" s="313"/>
      <c r="E1" s="313"/>
      <c r="F1" s="313"/>
      <c r="G1" s="313"/>
      <c r="H1" s="313"/>
      <c r="I1" s="313"/>
    </row>
    <row r="2" spans="1:21" ht="15" x14ac:dyDescent="0.2">
      <c r="A2" s="255" t="s">
        <v>415</v>
      </c>
      <c r="B2" s="255"/>
      <c r="C2" s="255"/>
      <c r="D2" s="255"/>
      <c r="E2" s="255"/>
      <c r="F2" s="255"/>
      <c r="G2" s="255"/>
      <c r="H2" s="255"/>
      <c r="I2" s="255"/>
    </row>
    <row r="3" spans="1:21" ht="15" x14ac:dyDescent="0.2">
      <c r="A3" s="255" t="s">
        <v>412</v>
      </c>
      <c r="B3" s="255"/>
      <c r="C3" s="255"/>
      <c r="D3" s="255"/>
      <c r="E3" s="255"/>
      <c r="F3" s="255"/>
      <c r="G3" s="255"/>
      <c r="H3" s="255"/>
      <c r="I3" s="255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4.25" x14ac:dyDescent="0.2">
      <c r="A4" s="256"/>
      <c r="B4" s="85"/>
      <c r="C4" s="85"/>
      <c r="D4" s="85"/>
      <c r="E4" s="85"/>
      <c r="F4" s="85"/>
      <c r="G4" s="85"/>
      <c r="H4" s="85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 customHeight="1" x14ac:dyDescent="0.2">
      <c r="A5" s="257" t="s">
        <v>0</v>
      </c>
      <c r="B5" s="258" t="s">
        <v>19</v>
      </c>
      <c r="C5" s="259" t="s">
        <v>17</v>
      </c>
      <c r="D5" s="259"/>
      <c r="E5" s="259" t="s">
        <v>20</v>
      </c>
      <c r="F5" s="259"/>
      <c r="G5" s="259" t="s">
        <v>14</v>
      </c>
      <c r="H5" s="259"/>
      <c r="I5" s="260" t="s">
        <v>3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24.75" customHeight="1" x14ac:dyDescent="0.2">
      <c r="A6" s="261"/>
      <c r="B6" s="262"/>
      <c r="C6" s="263" t="s">
        <v>4</v>
      </c>
      <c r="D6" s="263" t="s">
        <v>1</v>
      </c>
      <c r="E6" s="263" t="s">
        <v>18</v>
      </c>
      <c r="F6" s="263" t="s">
        <v>21</v>
      </c>
      <c r="G6" s="263" t="s">
        <v>15</v>
      </c>
      <c r="H6" s="263" t="s">
        <v>16</v>
      </c>
      <c r="I6" s="264" t="s">
        <v>22</v>
      </c>
      <c r="J6" s="5" t="s">
        <v>21</v>
      </c>
      <c r="K6" s="2"/>
      <c r="L6" s="2"/>
      <c r="M6" s="2"/>
      <c r="N6" s="2" t="s">
        <v>2</v>
      </c>
      <c r="O6" s="2"/>
      <c r="P6" s="2"/>
      <c r="Q6" s="2"/>
      <c r="R6" s="2"/>
      <c r="S6" s="2"/>
      <c r="T6" s="2"/>
      <c r="U6" s="2"/>
    </row>
    <row r="7" spans="1:21" ht="20.100000000000001" customHeight="1" x14ac:dyDescent="0.2">
      <c r="A7" s="265"/>
      <c r="B7" s="266"/>
      <c r="C7" s="267"/>
      <c r="D7" s="268"/>
      <c r="E7" s="268"/>
      <c r="F7" s="268"/>
      <c r="G7" s="268"/>
      <c r="H7" s="268"/>
      <c r="I7" s="85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20.100000000000001" customHeight="1" x14ac:dyDescent="0.3">
      <c r="A8" s="269" t="s">
        <v>5</v>
      </c>
      <c r="B8" s="270"/>
      <c r="C8" s="271">
        <f>+C10+C22</f>
        <v>128168000</v>
      </c>
      <c r="D8" s="271">
        <f>+D10+D22</f>
        <v>128168000</v>
      </c>
      <c r="E8" s="271">
        <f>+E10+E22</f>
        <v>23143500.43</v>
      </c>
      <c r="F8" s="271">
        <f>+F10+F22</f>
        <v>123241497.37</v>
      </c>
      <c r="G8" s="272">
        <f>+F8-D8</f>
        <v>-4926502.6299999952</v>
      </c>
      <c r="H8" s="273">
        <f>F8-C8</f>
        <v>-4926502.6299999952</v>
      </c>
      <c r="I8" s="274">
        <f>+F8/D8*100</f>
        <v>96.156214788402721</v>
      </c>
      <c r="J8">
        <v>100097996.94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20.100000000000001" customHeight="1" x14ac:dyDescent="0.25">
      <c r="A9" s="275"/>
      <c r="B9" s="276"/>
      <c r="C9" s="277"/>
      <c r="D9" s="277"/>
      <c r="E9" s="277"/>
      <c r="F9" s="277"/>
      <c r="G9" s="278"/>
      <c r="H9" s="279"/>
      <c r="I9" s="280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20.100000000000001" customHeight="1" x14ac:dyDescent="0.3">
      <c r="A10" s="281" t="s">
        <v>6</v>
      </c>
      <c r="B10" s="276"/>
      <c r="C10" s="271">
        <f>SUM(C12:C20)</f>
        <v>18843505</v>
      </c>
      <c r="D10" s="271">
        <f>SUM(D12:D20)</f>
        <v>18843505</v>
      </c>
      <c r="E10" s="271">
        <f>SUM(E12:E20)</f>
        <v>282768.43</v>
      </c>
      <c r="F10" s="271">
        <f>SUM(F12:F20)</f>
        <v>13917002.370000001</v>
      </c>
      <c r="G10" s="282">
        <f>+F10-D10</f>
        <v>-4926502.629999999</v>
      </c>
      <c r="H10" s="283">
        <f>+F10-C10</f>
        <v>-4926502.629999999</v>
      </c>
      <c r="I10" s="274">
        <f>+F10/D10*100</f>
        <v>73.855699191843556</v>
      </c>
      <c r="J10">
        <v>13634233.940000001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20.100000000000001" customHeight="1" x14ac:dyDescent="0.2">
      <c r="A11" s="284"/>
      <c r="B11" s="276"/>
      <c r="C11" s="277"/>
      <c r="D11" s="277" t="s">
        <v>2</v>
      </c>
      <c r="E11" s="277"/>
      <c r="F11" s="277" t="s">
        <v>2</v>
      </c>
      <c r="G11" s="278"/>
      <c r="H11" s="279"/>
      <c r="I11" s="280"/>
      <c r="J11" t="s">
        <v>2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20.100000000000001" customHeight="1" x14ac:dyDescent="0.2">
      <c r="A12" s="285" t="s">
        <v>7</v>
      </c>
      <c r="B12" s="286" t="s">
        <v>23</v>
      </c>
      <c r="C12" s="287">
        <v>662200</v>
      </c>
      <c r="D12" s="287">
        <v>662200</v>
      </c>
      <c r="E12" s="287">
        <v>4825.63</v>
      </c>
      <c r="F12" s="287">
        <f>+E12+J12</f>
        <v>416553.09</v>
      </c>
      <c r="G12" s="288">
        <f>+F12-D12</f>
        <v>-245646.90999999997</v>
      </c>
      <c r="H12" s="288">
        <f t="shared" ref="H12:H20" si="0">+F12-C12</f>
        <v>-245646.90999999997</v>
      </c>
      <c r="I12" s="280">
        <f>+F12/D12*100</f>
        <v>62.904423135004542</v>
      </c>
      <c r="J12">
        <f>411727.46</f>
        <v>411727.46</v>
      </c>
      <c r="K12" s="2"/>
      <c r="L12" s="2"/>
      <c r="M12" s="2"/>
      <c r="N12" s="36"/>
      <c r="O12" s="37"/>
      <c r="P12" s="37"/>
      <c r="Q12" s="38"/>
      <c r="R12" s="38"/>
      <c r="S12" s="39"/>
      <c r="T12" s="38"/>
      <c r="U12" s="38"/>
    </row>
    <row r="13" spans="1:21" ht="20.100000000000001" customHeight="1" x14ac:dyDescent="0.2">
      <c r="A13" s="285" t="s">
        <v>8</v>
      </c>
      <c r="B13" s="286" t="s">
        <v>24</v>
      </c>
      <c r="C13" s="287">
        <v>6734600</v>
      </c>
      <c r="D13" s="287">
        <v>6734600</v>
      </c>
      <c r="E13" s="287">
        <v>69552.27</v>
      </c>
      <c r="F13" s="287">
        <f t="shared" ref="F13:F20" si="1">+E13+J13</f>
        <v>1928284.92</v>
      </c>
      <c r="G13" s="288">
        <f t="shared" ref="G13:G18" si="2">+F13-D13</f>
        <v>-4806315.08</v>
      </c>
      <c r="H13" s="288">
        <f t="shared" si="0"/>
        <v>-4806315.08</v>
      </c>
      <c r="I13" s="280">
        <f>+F13/D13*100</f>
        <v>28.632508537997804</v>
      </c>
      <c r="J13">
        <v>1858732.65</v>
      </c>
      <c r="K13" s="2"/>
      <c r="L13" s="2"/>
      <c r="M13" s="2"/>
      <c r="N13" s="2"/>
      <c r="O13" s="37"/>
      <c r="P13" s="37"/>
      <c r="Q13" s="38"/>
      <c r="R13" s="38"/>
      <c r="S13" s="39"/>
      <c r="T13" s="38"/>
      <c r="U13" s="38"/>
    </row>
    <row r="14" spans="1:21" ht="20.100000000000001" customHeight="1" x14ac:dyDescent="0.2">
      <c r="A14" s="289" t="s">
        <v>25</v>
      </c>
      <c r="B14" s="286" t="s">
        <v>26</v>
      </c>
      <c r="C14" s="287"/>
      <c r="D14" s="287"/>
      <c r="E14" s="287">
        <v>0</v>
      </c>
      <c r="F14" s="287">
        <f t="shared" si="1"/>
        <v>0</v>
      </c>
      <c r="G14" s="290">
        <f t="shared" si="2"/>
        <v>0</v>
      </c>
      <c r="H14" s="288">
        <f t="shared" si="0"/>
        <v>0</v>
      </c>
      <c r="I14" s="280">
        <v>0</v>
      </c>
      <c r="J14">
        <v>0</v>
      </c>
      <c r="K14" s="2"/>
      <c r="L14" s="2"/>
      <c r="M14" s="2"/>
      <c r="N14" s="2"/>
      <c r="O14" s="37"/>
      <c r="P14" s="37"/>
      <c r="Q14" s="38"/>
      <c r="R14" s="38"/>
      <c r="S14" s="39"/>
      <c r="T14" s="38"/>
      <c r="U14" s="38"/>
    </row>
    <row r="15" spans="1:21" ht="20.100000000000001" customHeight="1" x14ac:dyDescent="0.2">
      <c r="A15" s="289" t="s">
        <v>9</v>
      </c>
      <c r="B15" s="286" t="s">
        <v>27</v>
      </c>
      <c r="C15" s="287">
        <v>5502945</v>
      </c>
      <c r="D15" s="287">
        <v>5502945</v>
      </c>
      <c r="E15" s="287">
        <f>1197.08+88514.62</f>
        <v>89711.7</v>
      </c>
      <c r="F15" s="287">
        <f t="shared" si="1"/>
        <v>4617686.66</v>
      </c>
      <c r="G15" s="288">
        <f t="shared" si="2"/>
        <v>-885258.33999999985</v>
      </c>
      <c r="H15" s="288">
        <f t="shared" si="0"/>
        <v>-885258.33999999985</v>
      </c>
      <c r="I15" s="280">
        <f>+F15/D15*100</f>
        <v>83.91300767134689</v>
      </c>
      <c r="J15">
        <v>4527974.96</v>
      </c>
      <c r="K15" s="2"/>
      <c r="L15" s="2"/>
      <c r="M15" s="2"/>
      <c r="N15" s="2"/>
      <c r="O15" s="37"/>
      <c r="P15" s="37"/>
      <c r="Q15" s="38"/>
      <c r="R15" s="38"/>
      <c r="S15" s="39"/>
      <c r="T15" s="38"/>
      <c r="U15" s="38"/>
    </row>
    <row r="16" spans="1:21" ht="20.100000000000001" customHeight="1" x14ac:dyDescent="0.2">
      <c r="A16" s="289" t="s">
        <v>10</v>
      </c>
      <c r="B16" s="286" t="s">
        <v>28</v>
      </c>
      <c r="C16" s="287">
        <v>64260</v>
      </c>
      <c r="D16" s="287">
        <v>64260</v>
      </c>
      <c r="E16" s="287">
        <v>140</v>
      </c>
      <c r="F16" s="287">
        <f t="shared" si="1"/>
        <v>59654.399999999994</v>
      </c>
      <c r="G16" s="288">
        <f t="shared" si="2"/>
        <v>-4605.6000000000058</v>
      </c>
      <c r="H16" s="288">
        <f t="shared" si="0"/>
        <v>-4605.6000000000058</v>
      </c>
      <c r="I16" s="280" t="s">
        <v>2</v>
      </c>
      <c r="J16">
        <v>59514.399999999994</v>
      </c>
      <c r="K16" s="2"/>
      <c r="L16" s="2"/>
      <c r="M16" s="2"/>
      <c r="N16" s="2"/>
      <c r="O16" s="37"/>
      <c r="P16" s="37"/>
      <c r="Q16" s="38"/>
      <c r="R16" s="38"/>
      <c r="S16" s="39"/>
      <c r="T16" s="38"/>
      <c r="U16" s="38"/>
    </row>
    <row r="17" spans="1:21" ht="20.100000000000001" customHeight="1" x14ac:dyDescent="0.2">
      <c r="A17" s="289" t="s">
        <v>11</v>
      </c>
      <c r="B17" s="286" t="s">
        <v>29</v>
      </c>
      <c r="C17" s="287">
        <v>1247295</v>
      </c>
      <c r="D17" s="287">
        <v>1247295</v>
      </c>
      <c r="E17" s="287">
        <v>23306.04</v>
      </c>
      <c r="F17" s="287">
        <f t="shared" si="1"/>
        <v>592814.67999999993</v>
      </c>
      <c r="G17" s="288">
        <f t="shared" si="2"/>
        <v>-654480.32000000007</v>
      </c>
      <c r="H17" s="288">
        <f t="shared" si="0"/>
        <v>-654480.32000000007</v>
      </c>
      <c r="I17" s="280">
        <f>+F17/D17*100</f>
        <v>47.528025046199971</v>
      </c>
      <c r="J17">
        <v>569508.6399999999</v>
      </c>
      <c r="K17" s="2"/>
      <c r="L17" s="2"/>
      <c r="M17" s="2"/>
      <c r="N17" s="2"/>
      <c r="O17" s="37"/>
      <c r="P17" s="37"/>
      <c r="Q17" s="38"/>
      <c r="R17" s="38"/>
      <c r="S17" s="39"/>
      <c r="T17" s="38"/>
      <c r="U17" s="38"/>
    </row>
    <row r="18" spans="1:21" ht="20.100000000000001" customHeight="1" x14ac:dyDescent="0.2">
      <c r="A18" s="289" t="s">
        <v>12</v>
      </c>
      <c r="B18" s="286" t="s">
        <v>30</v>
      </c>
      <c r="C18" s="287">
        <v>632205</v>
      </c>
      <c r="D18" s="287">
        <v>632205</v>
      </c>
      <c r="E18" s="287">
        <v>95232.79</v>
      </c>
      <c r="F18" s="287">
        <f t="shared" si="1"/>
        <v>2302008.62</v>
      </c>
      <c r="G18" s="290">
        <f t="shared" si="2"/>
        <v>1669803.62</v>
      </c>
      <c r="H18" s="288">
        <f t="shared" si="0"/>
        <v>1669803.62</v>
      </c>
      <c r="I18" s="280">
        <f>+F18/D18*100</f>
        <v>364.12376048908186</v>
      </c>
      <c r="J18">
        <f>2206775.83</f>
        <v>2206775.83</v>
      </c>
      <c r="K18" s="2"/>
      <c r="L18" s="2"/>
      <c r="M18" s="2"/>
      <c r="N18" s="2"/>
      <c r="O18" s="37"/>
      <c r="P18" s="37"/>
      <c r="Q18" s="38"/>
      <c r="R18" s="38"/>
      <c r="S18" s="39"/>
      <c r="T18" s="38"/>
      <c r="U18" s="38"/>
    </row>
    <row r="19" spans="1:21" ht="20.100000000000001" customHeight="1" x14ac:dyDescent="0.2">
      <c r="A19" s="289" t="s">
        <v>31</v>
      </c>
      <c r="B19" s="286" t="s">
        <v>32</v>
      </c>
      <c r="C19" s="287"/>
      <c r="D19" s="287"/>
      <c r="E19" s="291"/>
      <c r="F19" s="287">
        <f t="shared" si="1"/>
        <v>0</v>
      </c>
      <c r="G19" s="290" t="s">
        <v>2</v>
      </c>
      <c r="H19" s="288" t="s">
        <v>2</v>
      </c>
      <c r="I19" s="280">
        <v>0</v>
      </c>
      <c r="J19">
        <v>0</v>
      </c>
      <c r="K19" s="2"/>
      <c r="L19" s="2"/>
      <c r="M19" s="2"/>
      <c r="N19" s="2"/>
      <c r="O19" s="37"/>
      <c r="P19" s="37"/>
      <c r="Q19" s="38"/>
      <c r="R19" s="38"/>
      <c r="S19" s="38"/>
      <c r="T19" s="38"/>
      <c r="U19" s="38"/>
    </row>
    <row r="20" spans="1:21" ht="20.100000000000001" customHeight="1" x14ac:dyDescent="0.2">
      <c r="A20" s="289" t="s">
        <v>33</v>
      </c>
      <c r="B20" s="286" t="s">
        <v>34</v>
      </c>
      <c r="C20" s="287">
        <v>4000000</v>
      </c>
      <c r="D20" s="287">
        <v>4000000</v>
      </c>
      <c r="E20" s="287">
        <v>0</v>
      </c>
      <c r="F20" s="287">
        <f t="shared" si="1"/>
        <v>4000000</v>
      </c>
      <c r="G20" s="290">
        <f>+F20-D20</f>
        <v>0</v>
      </c>
      <c r="H20" s="288">
        <f t="shared" si="0"/>
        <v>0</v>
      </c>
      <c r="I20" s="280">
        <f>+F20/D20*100</f>
        <v>100</v>
      </c>
      <c r="J20">
        <v>4000000</v>
      </c>
      <c r="K20" s="2"/>
      <c r="L20" s="2"/>
      <c r="M20" s="2"/>
      <c r="N20" s="2"/>
      <c r="O20" s="37"/>
      <c r="P20" s="37"/>
      <c r="Q20" s="38"/>
      <c r="R20" s="38"/>
      <c r="S20" s="38"/>
      <c r="T20" s="38"/>
      <c r="U20" s="38"/>
    </row>
    <row r="21" spans="1:21" ht="20.100000000000001" customHeight="1" x14ac:dyDescent="0.2">
      <c r="A21" s="85"/>
      <c r="B21" s="292"/>
      <c r="C21" s="287"/>
      <c r="D21" s="287" t="s">
        <v>2</v>
      </c>
      <c r="E21" s="287" t="s">
        <v>2</v>
      </c>
      <c r="F21" s="287" t="s">
        <v>2</v>
      </c>
      <c r="G21" s="288"/>
      <c r="H21" s="288" t="s">
        <v>2</v>
      </c>
      <c r="I21" s="280"/>
      <c r="J21" t="s">
        <v>2</v>
      </c>
      <c r="K21" s="2"/>
      <c r="L21" s="2"/>
      <c r="M21" s="2"/>
      <c r="N21" s="2"/>
      <c r="O21" s="37"/>
      <c r="P21" s="37"/>
      <c r="Q21" s="38"/>
      <c r="R21" s="38"/>
      <c r="S21" s="38"/>
      <c r="T21" s="38"/>
      <c r="U21" s="38"/>
    </row>
    <row r="22" spans="1:21" ht="20.100000000000001" customHeight="1" x14ac:dyDescent="0.2">
      <c r="A22" s="293" t="s">
        <v>13</v>
      </c>
      <c r="B22" s="292"/>
      <c r="C22" s="294">
        <f>+C24+C30</f>
        <v>109324495</v>
      </c>
      <c r="D22" s="294">
        <f>+D24+D30</f>
        <v>109324495</v>
      </c>
      <c r="E22" s="294">
        <f>+E24+E30</f>
        <v>22860732</v>
      </c>
      <c r="F22" s="294">
        <f>+F24+F30</f>
        <v>109324495</v>
      </c>
      <c r="G22" s="295">
        <f>+F22-D22</f>
        <v>0</v>
      </c>
      <c r="H22" s="295">
        <f>+F22-C22</f>
        <v>0</v>
      </c>
      <c r="I22" s="296">
        <f>+F22/D22*100</f>
        <v>100</v>
      </c>
      <c r="J22">
        <v>86463763</v>
      </c>
      <c r="K22" s="2"/>
      <c r="L22" s="2"/>
      <c r="M22" s="2"/>
      <c r="N22" s="2"/>
      <c r="O22" s="40"/>
      <c r="P22" s="40"/>
      <c r="Q22" s="38"/>
      <c r="R22" s="38"/>
      <c r="S22" s="38"/>
      <c r="T22" s="38"/>
      <c r="U22" s="38"/>
    </row>
    <row r="23" spans="1:21" ht="20.100000000000001" customHeight="1" x14ac:dyDescent="0.2">
      <c r="A23" s="297" t="s">
        <v>2</v>
      </c>
      <c r="B23" s="292"/>
      <c r="C23" s="287"/>
      <c r="D23" s="287"/>
      <c r="E23" s="287"/>
      <c r="F23" s="287" t="s">
        <v>2</v>
      </c>
      <c r="G23" s="288"/>
      <c r="H23" s="288"/>
      <c r="I23" s="280"/>
      <c r="J23" t="s">
        <v>2</v>
      </c>
      <c r="K23" s="2"/>
      <c r="L23" s="2"/>
      <c r="M23" s="2"/>
      <c r="N23" s="2"/>
      <c r="O23" s="37"/>
      <c r="P23" s="37"/>
      <c r="Q23" s="38"/>
      <c r="R23" s="38"/>
      <c r="S23" s="38"/>
      <c r="T23" s="38"/>
      <c r="U23" s="38"/>
    </row>
    <row r="24" spans="1:21" ht="23.25" customHeight="1" x14ac:dyDescent="0.2">
      <c r="A24" s="298" t="s">
        <v>35</v>
      </c>
      <c r="B24" s="286" t="s">
        <v>36</v>
      </c>
      <c r="C24" s="277">
        <f>SUM(C26:C28)</f>
        <v>87013795</v>
      </c>
      <c r="D24" s="277">
        <f>+D26+D28</f>
        <v>87013795</v>
      </c>
      <c r="E24" s="277">
        <f>SUM(E26:E28)</f>
        <v>22860732</v>
      </c>
      <c r="F24" s="277">
        <f>+F26+F27+F28</f>
        <v>87013795</v>
      </c>
      <c r="G24" s="279">
        <f>+F24-D24</f>
        <v>0</v>
      </c>
      <c r="H24" s="279">
        <f>+F24-C24</f>
        <v>0</v>
      </c>
      <c r="I24" s="299">
        <f>+F24/D24*100</f>
        <v>100</v>
      </c>
      <c r="J24">
        <v>64153063</v>
      </c>
      <c r="K24" s="2"/>
      <c r="L24" s="2"/>
      <c r="M24" s="2"/>
      <c r="N24" s="2"/>
      <c r="O24" s="40"/>
      <c r="P24" s="40"/>
      <c r="Q24" s="38"/>
      <c r="R24" s="38"/>
      <c r="S24" s="38"/>
      <c r="T24" s="38"/>
      <c r="U24" s="38"/>
    </row>
    <row r="25" spans="1:21" ht="20.100000000000001" customHeight="1" x14ac:dyDescent="0.2">
      <c r="A25" s="85" t="s">
        <v>2</v>
      </c>
      <c r="B25" s="286"/>
      <c r="C25" s="287" t="s">
        <v>2</v>
      </c>
      <c r="D25" s="287"/>
      <c r="E25" s="287" t="s">
        <v>2</v>
      </c>
      <c r="F25" s="287" t="s">
        <v>2</v>
      </c>
      <c r="G25" s="288"/>
      <c r="H25" s="288"/>
      <c r="I25" s="280" t="s">
        <v>2</v>
      </c>
      <c r="J25" t="s">
        <v>2</v>
      </c>
      <c r="K25" s="2"/>
      <c r="L25" s="2"/>
      <c r="M25" s="2"/>
      <c r="N25" s="2"/>
      <c r="O25" s="37"/>
      <c r="P25" s="37"/>
      <c r="Q25" s="38"/>
      <c r="R25" s="38"/>
      <c r="S25" s="38"/>
      <c r="T25" s="38"/>
      <c r="U25" s="38"/>
    </row>
    <row r="26" spans="1:21" ht="20.100000000000001" customHeight="1" x14ac:dyDescent="0.2">
      <c r="A26" s="300" t="s">
        <v>37</v>
      </c>
      <c r="B26" s="286"/>
      <c r="C26" s="287">
        <v>79431743</v>
      </c>
      <c r="D26" s="287">
        <v>79431743</v>
      </c>
      <c r="E26" s="301">
        <v>21537198</v>
      </c>
      <c r="F26" s="287">
        <f t="shared" ref="F26:F27" si="3">+E26+J26</f>
        <v>79431743</v>
      </c>
      <c r="G26" s="288">
        <f>+F26-D26</f>
        <v>0</v>
      </c>
      <c r="H26" s="288">
        <f>+F26-C26</f>
        <v>0</v>
      </c>
      <c r="I26" s="280">
        <f>+F26/D26*100</f>
        <v>100</v>
      </c>
      <c r="J26">
        <v>57894545</v>
      </c>
      <c r="K26" s="2"/>
      <c r="L26" s="2"/>
      <c r="M26" s="2"/>
      <c r="N26" s="2"/>
      <c r="O26" s="37"/>
      <c r="P26" s="37"/>
      <c r="Q26" s="38"/>
      <c r="R26" s="38"/>
      <c r="S26" s="38"/>
      <c r="T26" s="38"/>
      <c r="U26" s="38"/>
    </row>
    <row r="27" spans="1:21" ht="20.100000000000001" customHeight="1" x14ac:dyDescent="0.2">
      <c r="A27" s="300" t="s">
        <v>38</v>
      </c>
      <c r="B27" s="286" t="s">
        <v>2</v>
      </c>
      <c r="C27" s="287">
        <v>0</v>
      </c>
      <c r="D27" s="287">
        <v>0</v>
      </c>
      <c r="E27" s="301">
        <v>0</v>
      </c>
      <c r="F27" s="287">
        <f t="shared" si="3"/>
        <v>0</v>
      </c>
      <c r="G27" s="288">
        <f>+F27-D27</f>
        <v>0</v>
      </c>
      <c r="H27" s="288">
        <f>+F27-C27</f>
        <v>0</v>
      </c>
      <c r="I27" s="280" t="s">
        <v>2</v>
      </c>
      <c r="J27">
        <v>0</v>
      </c>
      <c r="K27" s="2"/>
      <c r="L27" s="2"/>
      <c r="M27" s="2"/>
      <c r="N27" s="2"/>
      <c r="O27" s="37"/>
      <c r="P27" s="37"/>
      <c r="Q27" s="38"/>
      <c r="R27" s="38"/>
      <c r="S27" s="38"/>
      <c r="T27" s="38"/>
      <c r="U27" s="38"/>
    </row>
    <row r="28" spans="1:21" ht="20.100000000000001" customHeight="1" x14ac:dyDescent="0.2">
      <c r="A28" s="300" t="s">
        <v>39</v>
      </c>
      <c r="B28" s="286"/>
      <c r="C28" s="287">
        <v>7582052</v>
      </c>
      <c r="D28" s="287">
        <v>7582052</v>
      </c>
      <c r="E28" s="301">
        <v>1323534</v>
      </c>
      <c r="F28" s="287">
        <f>+E28+J28</f>
        <v>7582052</v>
      </c>
      <c r="G28" s="288">
        <f>+F28-D28</f>
        <v>0</v>
      </c>
      <c r="H28" s="288">
        <f>+F28-C28</f>
        <v>0</v>
      </c>
      <c r="I28" s="280">
        <f>+F28/D28*100</f>
        <v>100</v>
      </c>
      <c r="J28">
        <v>6258518</v>
      </c>
      <c r="K28" s="2"/>
      <c r="L28" s="2"/>
      <c r="M28" s="2"/>
      <c r="N28" s="2"/>
      <c r="O28" s="37"/>
      <c r="P28" s="37"/>
      <c r="Q28" s="38"/>
      <c r="R28" s="38"/>
      <c r="S28" s="38"/>
      <c r="T28" s="38"/>
      <c r="U28" s="38"/>
    </row>
    <row r="29" spans="1:21" ht="20.100000000000001" customHeight="1" x14ac:dyDescent="0.2">
      <c r="A29" s="85" t="s">
        <v>2</v>
      </c>
      <c r="B29" s="286"/>
      <c r="C29" s="287" t="s">
        <v>2</v>
      </c>
      <c r="D29" s="301" t="s">
        <v>2</v>
      </c>
      <c r="E29" s="301" t="s">
        <v>2</v>
      </c>
      <c r="F29" s="301" t="s">
        <v>2</v>
      </c>
      <c r="G29" s="302"/>
      <c r="H29" s="303"/>
      <c r="I29" s="280"/>
      <c r="J29" t="s">
        <v>2</v>
      </c>
      <c r="K29" s="2"/>
      <c r="L29" s="2"/>
      <c r="M29" s="2"/>
      <c r="N29" s="2"/>
      <c r="O29" s="37"/>
      <c r="P29" s="37"/>
      <c r="Q29" s="38"/>
      <c r="R29" s="38"/>
      <c r="S29" s="38"/>
      <c r="T29" s="38"/>
      <c r="U29" s="38"/>
    </row>
    <row r="30" spans="1:21" ht="23.25" customHeight="1" x14ac:dyDescent="0.2">
      <c r="A30" s="298" t="s">
        <v>40</v>
      </c>
      <c r="B30" s="286" t="s">
        <v>41</v>
      </c>
      <c r="C30" s="277">
        <v>22310700</v>
      </c>
      <c r="D30" s="277">
        <v>22310700</v>
      </c>
      <c r="E30" s="304">
        <v>0</v>
      </c>
      <c r="F30" s="304">
        <f>+E30+J30</f>
        <v>22310700</v>
      </c>
      <c r="G30" s="278">
        <f>+F30-D30</f>
        <v>0</v>
      </c>
      <c r="H30" s="278">
        <f>+F30-C30</f>
        <v>0</v>
      </c>
      <c r="I30" s="299">
        <f>+F30/D30*100</f>
        <v>100</v>
      </c>
      <c r="J30">
        <v>22310700</v>
      </c>
      <c r="K30" s="2"/>
      <c r="L30" s="2"/>
      <c r="M30" s="2"/>
      <c r="N30" s="2"/>
      <c r="O30" s="41"/>
      <c r="P30" s="41"/>
      <c r="Q30" s="38"/>
      <c r="R30" s="38"/>
      <c r="S30" s="38"/>
      <c r="T30" s="38"/>
      <c r="U30" s="38"/>
    </row>
    <row r="31" spans="1:21" ht="20.100000000000001" customHeight="1" x14ac:dyDescent="0.2">
      <c r="A31" s="305" t="s">
        <v>2</v>
      </c>
      <c r="B31" s="306"/>
      <c r="C31" s="307"/>
      <c r="D31" s="307">
        <v>0</v>
      </c>
      <c r="E31" s="307"/>
      <c r="F31" s="307" t="s">
        <v>2</v>
      </c>
      <c r="G31" s="308"/>
      <c r="H31" s="309"/>
      <c r="I31" s="310"/>
      <c r="J31" t="s">
        <v>2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311" t="s">
        <v>2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" ht="14.25" x14ac:dyDescent="0.2">
      <c r="A33" s="312" t="s">
        <v>2</v>
      </c>
      <c r="B33" s="312"/>
    </row>
  </sheetData>
  <mergeCells count="8">
    <mergeCell ref="A1:I1"/>
    <mergeCell ref="A2:I2"/>
    <mergeCell ref="A3:I3"/>
    <mergeCell ref="A5:A6"/>
    <mergeCell ref="B5:B6"/>
    <mergeCell ref="C5:D5"/>
    <mergeCell ref="E5:F5"/>
    <mergeCell ref="G5:H5"/>
  </mergeCells>
  <phoneticPr fontId="2" type="noConversion"/>
  <pageMargins left="1.2598425196850394" right="0.78740157480314965" top="0.39370078740157483" bottom="0.39370078740157483" header="0.51181102362204722" footer="0.51181102362204722"/>
  <pageSetup scale="91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6" tint="0.39997558519241921"/>
  </sheetPr>
  <dimension ref="A1:R236"/>
  <sheetViews>
    <sheetView showGridLines="0" showZeros="0" topLeftCell="A145" workbookViewId="0">
      <selection activeCell="C76" sqref="C76"/>
    </sheetView>
  </sheetViews>
  <sheetFormatPr baseColWidth="10" defaultColWidth="11.42578125" defaultRowHeight="12.75" x14ac:dyDescent="0.2"/>
  <cols>
    <col min="1" max="1" width="1.7109375" style="17" customWidth="1"/>
    <col min="2" max="2" width="4.85546875" style="253" customWidth="1"/>
    <col min="3" max="3" width="38.85546875" style="253" customWidth="1"/>
    <col min="4" max="4" width="14.140625" style="253" hidden="1" customWidth="1"/>
    <col min="5" max="5" width="13.28515625" style="253" hidden="1" customWidth="1"/>
    <col min="6" max="6" width="14.5703125" style="253" customWidth="1"/>
    <col min="7" max="7" width="14.140625" style="253" hidden="1" customWidth="1"/>
    <col min="8" max="8" width="12.28515625" style="253" customWidth="1"/>
    <col min="9" max="9" width="12" style="253" customWidth="1"/>
    <col min="10" max="11" width="0.140625" style="253" hidden="1" customWidth="1"/>
    <col min="12" max="13" width="12.140625" style="253" customWidth="1"/>
    <col min="14" max="14" width="13.140625" style="253" hidden="1" customWidth="1"/>
    <col min="15" max="15" width="7.28515625" style="253" customWidth="1"/>
    <col min="16" max="16" width="11.42578125" customWidth="1"/>
    <col min="17" max="17" width="11.42578125" hidden="1" customWidth="1"/>
  </cols>
  <sheetData>
    <row r="1" spans="2:17" ht="14.25" customHeight="1" x14ac:dyDescent="0.25">
      <c r="B1" s="89" t="s">
        <v>350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2:17" x14ac:dyDescent="0.2">
      <c r="B2" s="88" t="s">
        <v>402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2:17" x14ac:dyDescent="0.2">
      <c r="B3" s="88" t="s">
        <v>410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2:17" ht="6.75" customHeight="1" x14ac:dyDescent="0.2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2:17" ht="0.75" customHeight="1" x14ac:dyDescent="0.2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2:17" x14ac:dyDescent="0.2">
      <c r="B6" s="90" t="s">
        <v>42</v>
      </c>
      <c r="C6" s="91"/>
      <c r="D6" s="92" t="s">
        <v>17</v>
      </c>
      <c r="E6" s="92"/>
      <c r="F6" s="92"/>
      <c r="G6" s="92"/>
      <c r="H6" s="93" t="s">
        <v>43</v>
      </c>
      <c r="I6" s="93"/>
      <c r="J6" s="94" t="s">
        <v>398</v>
      </c>
      <c r="K6" s="94"/>
      <c r="L6" s="93" t="s">
        <v>44</v>
      </c>
      <c r="M6" s="93" t="s">
        <v>14</v>
      </c>
      <c r="N6" s="93"/>
      <c r="O6" s="95" t="s">
        <v>45</v>
      </c>
    </row>
    <row r="7" spans="2:17" ht="17.100000000000001" customHeight="1" x14ac:dyDescent="0.2">
      <c r="B7" s="90"/>
      <c r="C7" s="91"/>
      <c r="D7" s="92"/>
      <c r="E7" s="92"/>
      <c r="F7" s="92"/>
      <c r="G7" s="92"/>
      <c r="H7" s="93"/>
      <c r="I7" s="93"/>
      <c r="J7" s="96"/>
      <c r="K7" s="96"/>
      <c r="L7" s="93"/>
      <c r="M7" s="93"/>
      <c r="N7" s="93"/>
      <c r="O7" s="95"/>
    </row>
    <row r="8" spans="2:17" ht="15" customHeight="1" x14ac:dyDescent="0.2">
      <c r="B8" s="90"/>
      <c r="C8" s="91"/>
      <c r="D8" s="97" t="s">
        <v>46</v>
      </c>
      <c r="E8" s="97" t="s">
        <v>47</v>
      </c>
      <c r="F8" s="97" t="s">
        <v>4</v>
      </c>
      <c r="G8" s="97" t="s">
        <v>1</v>
      </c>
      <c r="H8" s="98" t="s">
        <v>18</v>
      </c>
      <c r="I8" s="99" t="s">
        <v>49</v>
      </c>
      <c r="J8" s="100"/>
      <c r="K8" s="101" t="s">
        <v>396</v>
      </c>
      <c r="L8" s="93"/>
      <c r="M8" s="102" t="s">
        <v>50</v>
      </c>
      <c r="N8" s="103" t="s">
        <v>16</v>
      </c>
      <c r="O8" s="95"/>
    </row>
    <row r="9" spans="2:17" x14ac:dyDescent="0.2">
      <c r="B9" s="104" t="s">
        <v>51</v>
      </c>
      <c r="C9" s="105" t="s">
        <v>52</v>
      </c>
      <c r="D9" s="106">
        <f>SUM(D10+D14+D18+D19+D20+D25+D29)</f>
        <v>91684300</v>
      </c>
      <c r="E9" s="106">
        <f t="shared" ref="E9:L9" si="0">SUM(E10+E14+E18+E19+E20+E25+E29)</f>
        <v>-9380628</v>
      </c>
      <c r="F9" s="106">
        <f t="shared" si="0"/>
        <v>82303672</v>
      </c>
      <c r="G9" s="106">
        <f t="shared" si="0"/>
        <v>82303672</v>
      </c>
      <c r="H9" s="106">
        <f t="shared" si="0"/>
        <v>7621545.54</v>
      </c>
      <c r="I9" s="106">
        <f>SUM(I10+I14+I18+I19+I20+I25+I29)</f>
        <v>79426227.080000013</v>
      </c>
      <c r="J9" s="106">
        <f t="shared" ref="J9:J35" si="1">+I9+K9</f>
        <v>79426227.080000013</v>
      </c>
      <c r="K9" s="106">
        <f t="shared" ref="K9" si="2">SUM(K10+K14+K18+K19+K20+K25+K29)</f>
        <v>0</v>
      </c>
      <c r="L9" s="106">
        <f t="shared" si="0"/>
        <v>78455491.689999998</v>
      </c>
      <c r="M9" s="107">
        <f>+G9-I9</f>
        <v>2877444.9199999869</v>
      </c>
      <c r="N9" s="107">
        <f>+F9-I9</f>
        <v>2877444.9199999869</v>
      </c>
      <c r="O9" s="108">
        <f>+I9*100/G9</f>
        <v>96.503868114171155</v>
      </c>
      <c r="Q9">
        <v>71804681.540000021</v>
      </c>
    </row>
    <row r="10" spans="2:17" ht="17.25" customHeight="1" x14ac:dyDescent="0.25">
      <c r="B10" s="104" t="s">
        <v>53</v>
      </c>
      <c r="C10" s="105" t="s">
        <v>54</v>
      </c>
      <c r="D10" s="106">
        <f>SUM(D11:D13)</f>
        <v>65773754</v>
      </c>
      <c r="E10" s="106">
        <f>SUM(E11:E13)</f>
        <v>-4814140</v>
      </c>
      <c r="F10" s="106">
        <f>+F11+F12+F13</f>
        <v>60959614</v>
      </c>
      <c r="G10" s="106">
        <f>SUM(G11:G13)</f>
        <v>60959614</v>
      </c>
      <c r="H10" s="106">
        <f>SUM(H11:H13)</f>
        <v>5425016.5099999998</v>
      </c>
      <c r="I10" s="106">
        <f>SUM(I11:I13)</f>
        <v>59686529.900000006</v>
      </c>
      <c r="J10" s="109">
        <f t="shared" si="1"/>
        <v>59686529.900000006</v>
      </c>
      <c r="K10" s="106">
        <f>SUM(K11:K13)</f>
        <v>0</v>
      </c>
      <c r="L10" s="106">
        <f>SUM(L11:L13)</f>
        <v>59916645</v>
      </c>
      <c r="M10" s="110">
        <f t="shared" ref="M10" si="3">+G10-J10</f>
        <v>1273084.099999994</v>
      </c>
      <c r="N10" s="110">
        <f t="shared" ref="N10:N86" si="4">+F10-I10</f>
        <v>1273084.099999994</v>
      </c>
      <c r="O10" s="111">
        <f>+I10*100/G10</f>
        <v>97.911594223677355</v>
      </c>
      <c r="Q10">
        <v>54261513.390000008</v>
      </c>
    </row>
    <row r="11" spans="2:17" ht="13.5" x14ac:dyDescent="0.25">
      <c r="B11" s="112" t="s">
        <v>55</v>
      </c>
      <c r="C11" s="113" t="s">
        <v>54</v>
      </c>
      <c r="D11" s="109">
        <v>57411754</v>
      </c>
      <c r="E11" s="114">
        <v>-3858283</v>
      </c>
      <c r="F11" s="109">
        <f t="shared" ref="F11:F86" si="5">+D11+E11</f>
        <v>53553471</v>
      </c>
      <c r="G11" s="109">
        <v>53553471</v>
      </c>
      <c r="H11" s="109">
        <v>4625146.33</v>
      </c>
      <c r="I11" s="115">
        <f>+H11+Q11</f>
        <v>52479653.480000004</v>
      </c>
      <c r="J11" s="109">
        <f t="shared" si="1"/>
        <v>52479653.480000004</v>
      </c>
      <c r="K11" s="109"/>
      <c r="L11" s="109">
        <v>52479654</v>
      </c>
      <c r="M11" s="115">
        <f>+G11-I11</f>
        <v>1073817.5199999958</v>
      </c>
      <c r="N11" s="115">
        <f>+F11-I11</f>
        <v>1073817.5199999958</v>
      </c>
      <c r="O11" s="116">
        <f t="shared" ref="O11:O86" si="6">+I11*100/G11</f>
        <v>97.9948684932112</v>
      </c>
      <c r="Q11">
        <v>47854507.150000006</v>
      </c>
    </row>
    <row r="12" spans="2:17" ht="13.5" x14ac:dyDescent="0.25">
      <c r="B12" s="112" t="s">
        <v>56</v>
      </c>
      <c r="C12" s="113" t="s">
        <v>57</v>
      </c>
      <c r="D12" s="109">
        <v>2377000</v>
      </c>
      <c r="E12" s="109">
        <v>-830655</v>
      </c>
      <c r="F12" s="109">
        <f t="shared" si="5"/>
        <v>1546345</v>
      </c>
      <c r="G12" s="109">
        <v>1546345</v>
      </c>
      <c r="H12" s="109">
        <v>186937.31</v>
      </c>
      <c r="I12" s="115">
        <f>+H12+Q12</f>
        <v>1393257.77</v>
      </c>
      <c r="J12" s="109">
        <f t="shared" si="1"/>
        <v>1393257.77</v>
      </c>
      <c r="K12" s="109"/>
      <c r="L12" s="109">
        <v>1393257</v>
      </c>
      <c r="M12" s="115">
        <f t="shared" ref="M12:M55" si="7">+G12-I12</f>
        <v>153087.22999999998</v>
      </c>
      <c r="N12" s="115">
        <f>+F12-I12</f>
        <v>153087.22999999998</v>
      </c>
      <c r="O12" s="116">
        <f>+I12*100/G12</f>
        <v>90.100059818475174</v>
      </c>
      <c r="Q12">
        <v>1206320.46</v>
      </c>
    </row>
    <row r="13" spans="2:17" ht="13.5" x14ac:dyDescent="0.25">
      <c r="B13" s="112" t="s">
        <v>58</v>
      </c>
      <c r="C13" s="113" t="s">
        <v>59</v>
      </c>
      <c r="D13" s="109">
        <v>5985000</v>
      </c>
      <c r="E13" s="109">
        <f>-125202</f>
        <v>-125202</v>
      </c>
      <c r="F13" s="109">
        <f>+D13+E13</f>
        <v>5859798</v>
      </c>
      <c r="G13" s="109">
        <v>5859798</v>
      </c>
      <c r="H13" s="109">
        <v>612932.87</v>
      </c>
      <c r="I13" s="115">
        <f>+H13+Q13</f>
        <v>5813618.6500000004</v>
      </c>
      <c r="J13" s="109">
        <f t="shared" si="1"/>
        <v>5813618.6500000004</v>
      </c>
      <c r="K13" s="109"/>
      <c r="L13" s="109">
        <v>6043734</v>
      </c>
      <c r="M13" s="115">
        <f t="shared" si="7"/>
        <v>46179.349999999627</v>
      </c>
      <c r="N13" s="115">
        <f t="shared" si="4"/>
        <v>46179.349999999627</v>
      </c>
      <c r="O13" s="116">
        <f t="shared" si="6"/>
        <v>99.211929319065263</v>
      </c>
      <c r="Q13">
        <v>5200685.78</v>
      </c>
    </row>
    <row r="14" spans="2:17" x14ac:dyDescent="0.2">
      <c r="B14" s="104" t="s">
        <v>60</v>
      </c>
      <c r="C14" s="105" t="s">
        <v>61</v>
      </c>
      <c r="D14" s="106">
        <f>SUM(D15:D17)</f>
        <v>11564346</v>
      </c>
      <c r="E14" s="106">
        <f>SUM(E15:E17)</f>
        <v>-3470286.32</v>
      </c>
      <c r="F14" s="106">
        <f t="shared" si="5"/>
        <v>8094059.6799999997</v>
      </c>
      <c r="G14" s="106">
        <f>+G15+G16+G17</f>
        <v>8094059.6799999997</v>
      </c>
      <c r="H14" s="106">
        <f>SUM(H15:H17)</f>
        <v>704240.55999999994</v>
      </c>
      <c r="I14" s="106">
        <f>SUM(I15:I17)</f>
        <v>7308124.5200000005</v>
      </c>
      <c r="J14" s="106">
        <f t="shared" si="1"/>
        <v>7308124.5200000005</v>
      </c>
      <c r="K14" s="106">
        <f>SUM(K15:K17)</f>
        <v>0</v>
      </c>
      <c r="L14" s="106">
        <f>SUM(L15:L17)</f>
        <v>7078009.0199999996</v>
      </c>
      <c r="M14" s="110">
        <f t="shared" si="7"/>
        <v>785935.15999999922</v>
      </c>
      <c r="N14" s="110">
        <f t="shared" si="4"/>
        <v>785935.15999999922</v>
      </c>
      <c r="O14" s="111">
        <f t="shared" si="6"/>
        <v>90.28997572204706</v>
      </c>
      <c r="Q14">
        <v>6603883.96</v>
      </c>
    </row>
    <row r="15" spans="2:17" ht="13.5" x14ac:dyDescent="0.25">
      <c r="B15" s="112" t="s">
        <v>62</v>
      </c>
      <c r="C15" s="113" t="s">
        <v>63</v>
      </c>
      <c r="D15" s="109">
        <v>220031</v>
      </c>
      <c r="E15" s="109">
        <v>-20662</v>
      </c>
      <c r="F15" s="109">
        <f t="shared" si="5"/>
        <v>199369</v>
      </c>
      <c r="G15" s="115">
        <v>199369</v>
      </c>
      <c r="H15" s="115">
        <v>22729.9</v>
      </c>
      <c r="I15" s="115">
        <f>+H15+Q15</f>
        <v>184169.38999999998</v>
      </c>
      <c r="J15" s="109">
        <f t="shared" si="1"/>
        <v>184169.38999999998</v>
      </c>
      <c r="K15" s="115"/>
      <c r="L15" s="115">
        <v>184169.55</v>
      </c>
      <c r="M15" s="115">
        <f t="shared" si="7"/>
        <v>15199.610000000015</v>
      </c>
      <c r="N15" s="115">
        <f t="shared" si="4"/>
        <v>15199.610000000015</v>
      </c>
      <c r="O15" s="116">
        <f t="shared" si="6"/>
        <v>92.376141727149161</v>
      </c>
      <c r="Q15">
        <v>161439.49</v>
      </c>
    </row>
    <row r="16" spans="2:17" ht="13.5" x14ac:dyDescent="0.25">
      <c r="B16" s="112" t="s">
        <v>64</v>
      </c>
      <c r="C16" s="113" t="s">
        <v>65</v>
      </c>
      <c r="D16" s="109">
        <v>1609980</v>
      </c>
      <c r="E16" s="109">
        <v>-86772</v>
      </c>
      <c r="F16" s="109">
        <f t="shared" si="5"/>
        <v>1523208</v>
      </c>
      <c r="G16" s="109">
        <v>1523208</v>
      </c>
      <c r="H16" s="109">
        <v>120828.43</v>
      </c>
      <c r="I16" s="115">
        <f>+H16+Q16</f>
        <v>1479397.9</v>
      </c>
      <c r="J16" s="109">
        <f t="shared" si="1"/>
        <v>1479397.9</v>
      </c>
      <c r="K16" s="109"/>
      <c r="L16" s="109">
        <v>1479397.97</v>
      </c>
      <c r="M16" s="115">
        <f t="shared" si="7"/>
        <v>43810.100000000093</v>
      </c>
      <c r="N16" s="115">
        <f t="shared" si="4"/>
        <v>43810.100000000093</v>
      </c>
      <c r="O16" s="116">
        <f t="shared" si="6"/>
        <v>97.123826818136465</v>
      </c>
      <c r="Q16">
        <v>1358569.47</v>
      </c>
    </row>
    <row r="17" spans="2:17" ht="13.5" x14ac:dyDescent="0.25">
      <c r="B17" s="112" t="s">
        <v>66</v>
      </c>
      <c r="C17" s="113" t="s">
        <v>67</v>
      </c>
      <c r="D17" s="109">
        <v>9734335</v>
      </c>
      <c r="E17" s="109">
        <v>-3362852.32</v>
      </c>
      <c r="F17" s="109">
        <f t="shared" si="5"/>
        <v>6371482.6799999997</v>
      </c>
      <c r="G17" s="109">
        <v>6371482.6799999997</v>
      </c>
      <c r="H17" s="109">
        <v>560682.23</v>
      </c>
      <c r="I17" s="115">
        <f>+H17+Q17</f>
        <v>5644557.2300000004</v>
      </c>
      <c r="J17" s="109">
        <f t="shared" si="1"/>
        <v>5644557.2300000004</v>
      </c>
      <c r="K17" s="109"/>
      <c r="L17" s="109">
        <v>5414441.5</v>
      </c>
      <c r="M17" s="115">
        <f t="shared" si="7"/>
        <v>726925.44999999925</v>
      </c>
      <c r="N17" s="115">
        <f t="shared" si="4"/>
        <v>726925.44999999925</v>
      </c>
      <c r="O17" s="116">
        <f t="shared" si="6"/>
        <v>88.590953055843514</v>
      </c>
      <c r="Q17">
        <v>5083875</v>
      </c>
    </row>
    <row r="18" spans="2:17" x14ac:dyDescent="0.2">
      <c r="B18" s="104" t="s">
        <v>68</v>
      </c>
      <c r="C18" s="105" t="s">
        <v>69</v>
      </c>
      <c r="D18" s="106">
        <v>216900</v>
      </c>
      <c r="E18" s="106">
        <v>-7077</v>
      </c>
      <c r="F18" s="106">
        <f t="shared" si="5"/>
        <v>209823</v>
      </c>
      <c r="G18" s="106">
        <v>209823</v>
      </c>
      <c r="H18" s="106">
        <v>17400</v>
      </c>
      <c r="I18" s="110">
        <f>+H18+Q18</f>
        <v>202806.34000000003</v>
      </c>
      <c r="J18" s="106">
        <f t="shared" si="1"/>
        <v>202806.34000000003</v>
      </c>
      <c r="K18" s="106"/>
      <c r="L18" s="106">
        <v>202806.67</v>
      </c>
      <c r="M18" s="110">
        <f t="shared" si="7"/>
        <v>7016.6599999999744</v>
      </c>
      <c r="N18" s="110">
        <f t="shared" si="4"/>
        <v>7016.6599999999744</v>
      </c>
      <c r="O18" s="111">
        <f t="shared" si="6"/>
        <v>96.655914747191702</v>
      </c>
      <c r="Q18">
        <v>185406.34000000003</v>
      </c>
    </row>
    <row r="19" spans="2:17" x14ac:dyDescent="0.2">
      <c r="B19" s="104" t="s">
        <v>70</v>
      </c>
      <c r="C19" s="105" t="s">
        <v>71</v>
      </c>
      <c r="D19" s="106">
        <v>2140743</v>
      </c>
      <c r="E19" s="106">
        <v>-490286</v>
      </c>
      <c r="F19" s="106">
        <f t="shared" si="5"/>
        <v>1650457</v>
      </c>
      <c r="G19" s="110">
        <v>1650457</v>
      </c>
      <c r="H19" s="110">
        <v>11003.32</v>
      </c>
      <c r="I19" s="110">
        <f>+H19+Q19</f>
        <v>1594714.4200000002</v>
      </c>
      <c r="J19" s="106">
        <f t="shared" si="1"/>
        <v>1594714.4200000002</v>
      </c>
      <c r="K19" s="110"/>
      <c r="L19" s="110">
        <v>1594713.27</v>
      </c>
      <c r="M19" s="110">
        <f t="shared" si="7"/>
        <v>55742.579999999842</v>
      </c>
      <c r="N19" s="110">
        <f t="shared" si="4"/>
        <v>55742.579999999842</v>
      </c>
      <c r="O19" s="111">
        <f t="shared" si="6"/>
        <v>96.622597256396276</v>
      </c>
      <c r="Q19" s="1">
        <v>1583711.1</v>
      </c>
    </row>
    <row r="20" spans="2:17" x14ac:dyDescent="0.2">
      <c r="B20" s="104" t="s">
        <v>72</v>
      </c>
      <c r="C20" s="105" t="s">
        <v>73</v>
      </c>
      <c r="D20" s="106">
        <f>SUM(D21:D24)</f>
        <v>11454557</v>
      </c>
      <c r="E20" s="106">
        <f>SUM(E21:E24)</f>
        <v>-777338.67999999993</v>
      </c>
      <c r="F20" s="106">
        <f t="shared" si="5"/>
        <v>10677218.32</v>
      </c>
      <c r="G20" s="106">
        <f>SUM(G21:G24)</f>
        <v>10677218.32</v>
      </c>
      <c r="H20" s="106">
        <f>SUM(H21:H24)</f>
        <v>906635.15</v>
      </c>
      <c r="I20" s="106">
        <f>SUM(I21:I24)</f>
        <v>10029915.810000001</v>
      </c>
      <c r="J20" s="106">
        <f t="shared" si="1"/>
        <v>10029915.810000001</v>
      </c>
      <c r="K20" s="106">
        <f>SUM(K21:K24)</f>
        <v>0</v>
      </c>
      <c r="L20" s="106">
        <f>SUM(L21:L24)</f>
        <v>9059181.5600000005</v>
      </c>
      <c r="M20" s="110">
        <f t="shared" si="7"/>
        <v>647302.50999999978</v>
      </c>
      <c r="N20" s="110">
        <f t="shared" si="4"/>
        <v>647302.50999999978</v>
      </c>
      <c r="O20" s="111">
        <f t="shared" si="6"/>
        <v>93.937536064168441</v>
      </c>
      <c r="Q20">
        <v>9123280.660000002</v>
      </c>
    </row>
    <row r="21" spans="2:17" ht="13.5" x14ac:dyDescent="0.25">
      <c r="B21" s="112" t="s">
        <v>74</v>
      </c>
      <c r="C21" s="114" t="s">
        <v>75</v>
      </c>
      <c r="D21" s="109">
        <v>8902342</v>
      </c>
      <c r="E21" s="109">
        <v>-494086.68</v>
      </c>
      <c r="F21" s="109">
        <f t="shared" si="5"/>
        <v>8408255.3200000003</v>
      </c>
      <c r="G21" s="109">
        <v>8408255.3200000003</v>
      </c>
      <c r="H21" s="109">
        <v>759497.52</v>
      </c>
      <c r="I21" s="115">
        <f>+Q21+H21</f>
        <v>8396005.040000001</v>
      </c>
      <c r="J21" s="109">
        <f t="shared" si="1"/>
        <v>8396005.040000001</v>
      </c>
      <c r="K21" s="109"/>
      <c r="L21" s="109">
        <v>7612161.3799999999</v>
      </c>
      <c r="M21" s="115">
        <f t="shared" si="7"/>
        <v>12250.279999999329</v>
      </c>
      <c r="N21" s="115">
        <f t="shared" si="4"/>
        <v>12250.279999999329</v>
      </c>
      <c r="O21" s="116">
        <f t="shared" si="6"/>
        <v>99.854306517419133</v>
      </c>
      <c r="Q21">
        <v>7636507.5200000005</v>
      </c>
    </row>
    <row r="22" spans="2:17" ht="13.5" x14ac:dyDescent="0.25">
      <c r="B22" s="112" t="s">
        <v>76</v>
      </c>
      <c r="C22" s="113" t="s">
        <v>77</v>
      </c>
      <c r="D22" s="109">
        <v>1160091</v>
      </c>
      <c r="E22" s="109">
        <v>-79220</v>
      </c>
      <c r="F22" s="109">
        <f t="shared" si="5"/>
        <v>1080871</v>
      </c>
      <c r="G22" s="109">
        <v>1080871</v>
      </c>
      <c r="H22" s="109">
        <v>92375.94</v>
      </c>
      <c r="I22" s="115">
        <f>+Q22+H22</f>
        <v>1042849.45</v>
      </c>
      <c r="J22" s="109">
        <f t="shared" si="1"/>
        <v>1042849.45</v>
      </c>
      <c r="K22" s="109"/>
      <c r="L22" s="109">
        <v>912704.22</v>
      </c>
      <c r="M22" s="115">
        <f t="shared" si="7"/>
        <v>38021.550000000047</v>
      </c>
      <c r="N22" s="115">
        <f>+F22-I22</f>
        <v>38021.550000000047</v>
      </c>
      <c r="O22" s="116">
        <f t="shared" si="6"/>
        <v>96.482323052427162</v>
      </c>
      <c r="Q22">
        <v>950473.51</v>
      </c>
    </row>
    <row r="23" spans="2:17" ht="13.5" x14ac:dyDescent="0.25">
      <c r="B23" s="112" t="s">
        <v>78</v>
      </c>
      <c r="C23" s="113" t="s">
        <v>79</v>
      </c>
      <c r="D23" s="109">
        <v>1160091</v>
      </c>
      <c r="E23" s="109">
        <v>-190098</v>
      </c>
      <c r="F23" s="109">
        <f t="shared" si="5"/>
        <v>969993</v>
      </c>
      <c r="G23" s="109">
        <v>969993</v>
      </c>
      <c r="H23" s="109">
        <v>43247.53</v>
      </c>
      <c r="I23" s="115">
        <f>+Q23+H23</f>
        <v>471368.51</v>
      </c>
      <c r="J23" s="109">
        <f t="shared" si="1"/>
        <v>471368.51</v>
      </c>
      <c r="K23" s="109"/>
      <c r="L23" s="109">
        <v>426179.47</v>
      </c>
      <c r="M23" s="115">
        <f t="shared" si="7"/>
        <v>498624.49</v>
      </c>
      <c r="N23" s="115">
        <f t="shared" si="4"/>
        <v>498624.49</v>
      </c>
      <c r="O23" s="116">
        <f t="shared" si="6"/>
        <v>48.595042438450584</v>
      </c>
      <c r="Q23">
        <v>428120.98</v>
      </c>
    </row>
    <row r="24" spans="2:17" ht="13.5" x14ac:dyDescent="0.25">
      <c r="B24" s="112" t="s">
        <v>80</v>
      </c>
      <c r="C24" s="113" t="s">
        <v>81</v>
      </c>
      <c r="D24" s="109">
        <v>232033</v>
      </c>
      <c r="E24" s="109">
        <v>-13934</v>
      </c>
      <c r="F24" s="109">
        <f t="shared" si="5"/>
        <v>218099</v>
      </c>
      <c r="G24" s="109">
        <v>218099</v>
      </c>
      <c r="H24" s="109">
        <v>11514.16</v>
      </c>
      <c r="I24" s="115">
        <f>+Q24+H24</f>
        <v>119692.81000000001</v>
      </c>
      <c r="J24" s="109">
        <f t="shared" si="1"/>
        <v>119692.81000000001</v>
      </c>
      <c r="K24" s="109"/>
      <c r="L24" s="109">
        <v>108136.49</v>
      </c>
      <c r="M24" s="115">
        <f t="shared" si="7"/>
        <v>98406.189999999988</v>
      </c>
      <c r="N24" s="115">
        <f t="shared" si="4"/>
        <v>98406.189999999988</v>
      </c>
      <c r="O24" s="116">
        <f t="shared" si="6"/>
        <v>54.880036130381164</v>
      </c>
      <c r="Q24">
        <v>108178.65000000001</v>
      </c>
    </row>
    <row r="25" spans="2:17" ht="13.5" x14ac:dyDescent="0.25">
      <c r="B25" s="104" t="s">
        <v>82</v>
      </c>
      <c r="C25" s="105" t="s">
        <v>83</v>
      </c>
      <c r="D25" s="106">
        <f>SUM(D26:D28)</f>
        <v>534000</v>
      </c>
      <c r="E25" s="106">
        <f t="shared" ref="E25:N25" si="8">SUM(E26:E28)</f>
        <v>83500</v>
      </c>
      <c r="F25" s="106">
        <f>SUM(F26:F28)</f>
        <v>617500</v>
      </c>
      <c r="G25" s="106">
        <f t="shared" si="8"/>
        <v>617500</v>
      </c>
      <c r="H25" s="106">
        <f t="shared" si="8"/>
        <v>557250</v>
      </c>
      <c r="I25" s="110">
        <f t="shared" ref="I25:I43" si="9">+Q25+H25</f>
        <v>557250</v>
      </c>
      <c r="J25" s="109">
        <f t="shared" si="1"/>
        <v>557250</v>
      </c>
      <c r="K25" s="106">
        <f t="shared" ref="K25" si="10">SUM(K26:K28)</f>
        <v>0</v>
      </c>
      <c r="L25" s="106">
        <f t="shared" si="8"/>
        <v>557250</v>
      </c>
      <c r="M25" s="110">
        <f t="shared" si="7"/>
        <v>60250</v>
      </c>
      <c r="N25" s="106">
        <f t="shared" si="8"/>
        <v>0</v>
      </c>
      <c r="O25" s="116" t="s">
        <v>2</v>
      </c>
      <c r="Q25">
        <v>0</v>
      </c>
    </row>
    <row r="26" spans="2:17" ht="13.5" x14ac:dyDescent="0.25">
      <c r="B26" s="117" t="s">
        <v>364</v>
      </c>
      <c r="C26" s="113" t="s">
        <v>367</v>
      </c>
      <c r="D26" s="109">
        <v>489000</v>
      </c>
      <c r="E26" s="109">
        <v>121000</v>
      </c>
      <c r="F26" s="109">
        <f t="shared" si="5"/>
        <v>610000</v>
      </c>
      <c r="G26" s="115">
        <v>610000</v>
      </c>
      <c r="H26" s="115">
        <v>557250</v>
      </c>
      <c r="I26" s="115">
        <f t="shared" si="9"/>
        <v>557250</v>
      </c>
      <c r="J26" s="109">
        <f t="shared" si="1"/>
        <v>557250</v>
      </c>
      <c r="K26" s="115">
        <v>0</v>
      </c>
      <c r="L26" s="115">
        <v>557250</v>
      </c>
      <c r="M26" s="115">
        <f t="shared" si="7"/>
        <v>52750</v>
      </c>
      <c r="N26" s="115"/>
      <c r="O26" s="116"/>
    </row>
    <row r="27" spans="2:17" ht="13.5" x14ac:dyDescent="0.25">
      <c r="B27" s="117" t="s">
        <v>365</v>
      </c>
      <c r="C27" s="113" t="s">
        <v>368</v>
      </c>
      <c r="D27" s="109">
        <v>15000</v>
      </c>
      <c r="E27" s="109">
        <v>-7500</v>
      </c>
      <c r="F27" s="109">
        <f t="shared" si="5"/>
        <v>7500</v>
      </c>
      <c r="G27" s="115">
        <v>7500</v>
      </c>
      <c r="H27" s="115"/>
      <c r="I27" s="115">
        <f t="shared" si="9"/>
        <v>0</v>
      </c>
      <c r="J27" s="109">
        <f t="shared" si="1"/>
        <v>0</v>
      </c>
      <c r="K27" s="115"/>
      <c r="L27" s="115"/>
      <c r="M27" s="115">
        <f t="shared" si="7"/>
        <v>7500</v>
      </c>
      <c r="N27" s="115"/>
      <c r="O27" s="116"/>
    </row>
    <row r="28" spans="2:17" ht="15" customHeight="1" x14ac:dyDescent="0.25">
      <c r="B28" s="117" t="s">
        <v>366</v>
      </c>
      <c r="C28" s="113" t="s">
        <v>369</v>
      </c>
      <c r="D28" s="109">
        <v>30000</v>
      </c>
      <c r="E28" s="109">
        <v>-30000</v>
      </c>
      <c r="F28" s="109">
        <f t="shared" si="5"/>
        <v>0</v>
      </c>
      <c r="G28" s="115">
        <v>0</v>
      </c>
      <c r="H28" s="115"/>
      <c r="I28" s="115">
        <f t="shared" si="9"/>
        <v>0</v>
      </c>
      <c r="J28" s="109">
        <f t="shared" si="1"/>
        <v>0</v>
      </c>
      <c r="K28" s="115"/>
      <c r="L28" s="115"/>
      <c r="M28" s="115">
        <f t="shared" si="7"/>
        <v>0</v>
      </c>
      <c r="N28" s="115"/>
      <c r="O28" s="116"/>
    </row>
    <row r="29" spans="2:17" ht="15.75" customHeight="1" x14ac:dyDescent="0.25">
      <c r="B29" s="104" t="s">
        <v>84</v>
      </c>
      <c r="C29" s="105" t="s">
        <v>85</v>
      </c>
      <c r="D29" s="106">
        <f>SUM(D30:D35)</f>
        <v>0</v>
      </c>
      <c r="E29" s="106">
        <f>SUM(E30:E35)</f>
        <v>95000</v>
      </c>
      <c r="F29" s="106">
        <f t="shared" si="5"/>
        <v>95000</v>
      </c>
      <c r="G29" s="106">
        <f t="shared" ref="G29:L29" si="11">SUM(G30:G35)</f>
        <v>95000</v>
      </c>
      <c r="H29" s="106">
        <f t="shared" si="11"/>
        <v>0</v>
      </c>
      <c r="I29" s="115">
        <f t="shared" si="9"/>
        <v>46886.090000000004</v>
      </c>
      <c r="J29" s="109">
        <f t="shared" si="1"/>
        <v>46886.090000000004</v>
      </c>
      <c r="K29" s="106">
        <f t="shared" si="11"/>
        <v>0</v>
      </c>
      <c r="L29" s="106">
        <f t="shared" si="11"/>
        <v>46886.170000000006</v>
      </c>
      <c r="M29" s="110">
        <f t="shared" si="7"/>
        <v>48113.909999999996</v>
      </c>
      <c r="N29" s="110">
        <f t="shared" si="4"/>
        <v>48113.909999999996</v>
      </c>
      <c r="O29" s="111">
        <f t="shared" si="6"/>
        <v>49.353778947368419</v>
      </c>
      <c r="Q29">
        <v>46886.090000000004</v>
      </c>
    </row>
    <row r="30" spans="2:17" ht="13.5" customHeight="1" x14ac:dyDescent="0.25">
      <c r="B30" s="112" t="s">
        <v>86</v>
      </c>
      <c r="C30" s="113" t="s">
        <v>87</v>
      </c>
      <c r="D30" s="109">
        <v>0</v>
      </c>
      <c r="E30" s="109">
        <v>60000</v>
      </c>
      <c r="F30" s="109">
        <f t="shared" si="5"/>
        <v>60000</v>
      </c>
      <c r="G30" s="115">
        <v>60000</v>
      </c>
      <c r="H30" s="115">
        <v>0</v>
      </c>
      <c r="I30" s="115">
        <f t="shared" si="9"/>
        <v>38145.89</v>
      </c>
      <c r="J30" s="109">
        <f t="shared" si="1"/>
        <v>38145.89</v>
      </c>
      <c r="K30" s="115"/>
      <c r="L30" s="115">
        <v>38145.980000000003</v>
      </c>
      <c r="M30" s="115">
        <f t="shared" si="7"/>
        <v>21854.11</v>
      </c>
      <c r="N30" s="115">
        <f t="shared" si="4"/>
        <v>21854.11</v>
      </c>
      <c r="O30" s="116">
        <f t="shared" si="6"/>
        <v>63.576483333333336</v>
      </c>
      <c r="Q30">
        <v>38145.89</v>
      </c>
    </row>
    <row r="31" spans="2:17" ht="14.25" customHeight="1" x14ac:dyDescent="0.25">
      <c r="B31" s="112" t="s">
        <v>88</v>
      </c>
      <c r="C31" s="113" t="s">
        <v>296</v>
      </c>
      <c r="D31" s="109"/>
      <c r="E31" s="109">
        <v>10000</v>
      </c>
      <c r="F31" s="109">
        <f t="shared" si="5"/>
        <v>10000</v>
      </c>
      <c r="G31" s="115">
        <v>10000</v>
      </c>
      <c r="H31" s="115"/>
      <c r="I31" s="115">
        <f t="shared" si="9"/>
        <v>0</v>
      </c>
      <c r="J31" s="109">
        <f t="shared" si="1"/>
        <v>0</v>
      </c>
      <c r="K31" s="115"/>
      <c r="L31" s="115"/>
      <c r="M31" s="115">
        <f t="shared" si="7"/>
        <v>10000</v>
      </c>
      <c r="N31" s="115">
        <f t="shared" si="4"/>
        <v>10000</v>
      </c>
      <c r="O31" s="116">
        <f t="shared" si="6"/>
        <v>0</v>
      </c>
      <c r="Q31">
        <v>0</v>
      </c>
    </row>
    <row r="32" spans="2:17" ht="12" customHeight="1" x14ac:dyDescent="0.25">
      <c r="B32" s="117" t="s">
        <v>330</v>
      </c>
      <c r="C32" s="113" t="s">
        <v>331</v>
      </c>
      <c r="D32" s="109"/>
      <c r="E32" s="109">
        <v>2000</v>
      </c>
      <c r="F32" s="109">
        <f t="shared" si="5"/>
        <v>2000</v>
      </c>
      <c r="G32" s="115">
        <v>2000</v>
      </c>
      <c r="H32" s="115"/>
      <c r="I32" s="115">
        <f t="shared" si="9"/>
        <v>0</v>
      </c>
      <c r="J32" s="109">
        <f t="shared" si="1"/>
        <v>0</v>
      </c>
      <c r="K32" s="115"/>
      <c r="L32" s="115"/>
      <c r="M32" s="115">
        <f t="shared" si="7"/>
        <v>2000</v>
      </c>
      <c r="N32" s="115">
        <f t="shared" si="4"/>
        <v>2000</v>
      </c>
      <c r="O32" s="116">
        <f t="shared" si="6"/>
        <v>0</v>
      </c>
      <c r="Q32">
        <v>0</v>
      </c>
    </row>
    <row r="33" spans="2:17" ht="14.25" customHeight="1" x14ac:dyDescent="0.25">
      <c r="B33" s="112" t="s">
        <v>310</v>
      </c>
      <c r="C33" s="113" t="s">
        <v>311</v>
      </c>
      <c r="D33" s="109"/>
      <c r="E33" s="109">
        <v>10000</v>
      </c>
      <c r="F33" s="109">
        <f t="shared" si="5"/>
        <v>10000</v>
      </c>
      <c r="G33" s="115">
        <v>10000</v>
      </c>
      <c r="H33" s="115">
        <v>0</v>
      </c>
      <c r="I33" s="115">
        <f t="shared" si="9"/>
        <v>2453.19</v>
      </c>
      <c r="J33" s="109">
        <f t="shared" si="1"/>
        <v>2453.19</v>
      </c>
      <c r="K33" s="115"/>
      <c r="L33" s="115">
        <v>2453.19</v>
      </c>
      <c r="M33" s="115">
        <f t="shared" si="7"/>
        <v>7546.8099999999995</v>
      </c>
      <c r="N33" s="115">
        <f t="shared" si="4"/>
        <v>7546.8099999999995</v>
      </c>
      <c r="O33" s="116">
        <f t="shared" si="6"/>
        <v>24.5319</v>
      </c>
      <c r="Q33">
        <v>2453.19</v>
      </c>
    </row>
    <row r="34" spans="2:17" ht="14.25" customHeight="1" x14ac:dyDescent="0.25">
      <c r="B34" s="117" t="s">
        <v>378</v>
      </c>
      <c r="C34" s="113" t="s">
        <v>379</v>
      </c>
      <c r="D34" s="109"/>
      <c r="E34" s="109">
        <v>1000</v>
      </c>
      <c r="F34" s="109">
        <f t="shared" si="5"/>
        <v>1000</v>
      </c>
      <c r="G34" s="115">
        <v>1000</v>
      </c>
      <c r="H34" s="115">
        <v>0</v>
      </c>
      <c r="I34" s="115">
        <f t="shared" si="9"/>
        <v>600</v>
      </c>
      <c r="J34" s="109">
        <f t="shared" si="1"/>
        <v>600</v>
      </c>
      <c r="K34" s="115"/>
      <c r="L34" s="115">
        <v>600</v>
      </c>
      <c r="M34" s="115">
        <f t="shared" si="7"/>
        <v>400</v>
      </c>
      <c r="N34" s="115">
        <f t="shared" ref="N34" si="12">+F34-I34</f>
        <v>400</v>
      </c>
      <c r="O34" s="116">
        <f t="shared" si="6"/>
        <v>60</v>
      </c>
      <c r="Q34">
        <v>600</v>
      </c>
    </row>
    <row r="35" spans="2:17" ht="12" customHeight="1" x14ac:dyDescent="0.25">
      <c r="B35" s="112" t="s">
        <v>297</v>
      </c>
      <c r="C35" s="113" t="s">
        <v>298</v>
      </c>
      <c r="D35" s="109">
        <v>0</v>
      </c>
      <c r="E35" s="109">
        <v>12000</v>
      </c>
      <c r="F35" s="109">
        <f t="shared" si="5"/>
        <v>12000</v>
      </c>
      <c r="G35" s="115">
        <v>12000</v>
      </c>
      <c r="H35" s="115">
        <v>0</v>
      </c>
      <c r="I35" s="115">
        <f t="shared" si="9"/>
        <v>5687.01</v>
      </c>
      <c r="J35" s="109">
        <f t="shared" si="1"/>
        <v>5687.01</v>
      </c>
      <c r="K35" s="115"/>
      <c r="L35" s="115">
        <v>5687</v>
      </c>
      <c r="M35" s="115">
        <f t="shared" si="7"/>
        <v>6312.99</v>
      </c>
      <c r="N35" s="115">
        <f t="shared" si="4"/>
        <v>6312.99</v>
      </c>
      <c r="O35" s="116">
        <f t="shared" si="6"/>
        <v>47.391750000000002</v>
      </c>
      <c r="Q35">
        <v>5687.01</v>
      </c>
    </row>
    <row r="36" spans="2:17" ht="18.75" customHeight="1" x14ac:dyDescent="0.2">
      <c r="B36" s="104" t="s">
        <v>89</v>
      </c>
      <c r="C36" s="105" t="s">
        <v>90</v>
      </c>
      <c r="D36" s="106">
        <f>D37+D44+D52++D53+D64+D73+D80+D83+D90+D68</f>
        <v>6154000</v>
      </c>
      <c r="E36" s="106">
        <f>E37+E44+E52++E53+E64+E73+E80+E83+E90+E68</f>
        <v>-173154</v>
      </c>
      <c r="F36" s="106">
        <f>F37+F44+F52++F53+F64+F73+F80+F83+F90+F68</f>
        <v>5980846</v>
      </c>
      <c r="G36" s="106">
        <f>+G37+G44+G52+G53+G64+G68+G73+G80+G83+G90</f>
        <v>5980846</v>
      </c>
      <c r="H36" s="106">
        <f>H37+H44+H52++H53+H64+H73+H80+H83+H90+H68</f>
        <v>306703.27</v>
      </c>
      <c r="I36" s="106">
        <f>I37+I44+I52++I53+I64+I73+I80+I83+I90+I68</f>
        <v>4809074.7300000004</v>
      </c>
      <c r="J36" s="106">
        <f>+I36+K36</f>
        <v>5575266.9200000009</v>
      </c>
      <c r="K36" s="106">
        <f>K37+K44+K52++K53+K64+K73+K80+K83+K90+K68</f>
        <v>766192.19000000006</v>
      </c>
      <c r="L36" s="106">
        <f>L37+L44+L52++L53+L64+L73+L80+L83+L90+L68</f>
        <v>3825972.6199999992</v>
      </c>
      <c r="M36" s="110">
        <f t="shared" si="7"/>
        <v>1171771.2699999996</v>
      </c>
      <c r="N36" s="110">
        <f t="shared" si="4"/>
        <v>1171771.2699999996</v>
      </c>
      <c r="O36" s="111">
        <f t="shared" si="6"/>
        <v>80.407934429343285</v>
      </c>
      <c r="Q36">
        <v>4500392.9799999995</v>
      </c>
    </row>
    <row r="37" spans="2:17" ht="15.75" customHeight="1" x14ac:dyDescent="0.25">
      <c r="B37" s="104">
        <v>100</v>
      </c>
      <c r="C37" s="105" t="s">
        <v>91</v>
      </c>
      <c r="D37" s="106">
        <f>SUM(D38:D43)</f>
        <v>127000</v>
      </c>
      <c r="E37" s="106">
        <f>SUM(E38:E43)</f>
        <v>-38530</v>
      </c>
      <c r="F37" s="106">
        <f t="shared" si="5"/>
        <v>88470</v>
      </c>
      <c r="G37" s="106">
        <f>SUM(G38:G43)</f>
        <v>88470</v>
      </c>
      <c r="H37" s="106">
        <f>SUM(H38:H43)</f>
        <v>0</v>
      </c>
      <c r="I37" s="110">
        <f t="shared" si="9"/>
        <v>72858.92</v>
      </c>
      <c r="J37" s="109">
        <f t="shared" ref="J37:J55" si="13">+I37+K37</f>
        <v>118109.31</v>
      </c>
      <c r="K37" s="106">
        <f>SUM(K38:K43)</f>
        <v>45250.39</v>
      </c>
      <c r="L37" s="106">
        <f>SUM(L38:L43)</f>
        <v>23491.21</v>
      </c>
      <c r="M37" s="110">
        <f t="shared" si="7"/>
        <v>15611.080000000002</v>
      </c>
      <c r="N37" s="110">
        <f t="shared" si="4"/>
        <v>15611.080000000002</v>
      </c>
      <c r="O37" s="111">
        <f t="shared" si="6"/>
        <v>82.354380015824574</v>
      </c>
      <c r="Q37">
        <v>72858.92</v>
      </c>
    </row>
    <row r="38" spans="2:17" ht="13.5" x14ac:dyDescent="0.25">
      <c r="B38" s="118" t="s">
        <v>92</v>
      </c>
      <c r="C38" s="114" t="s">
        <v>93</v>
      </c>
      <c r="D38" s="109">
        <v>20050</v>
      </c>
      <c r="E38" s="109">
        <v>-10130</v>
      </c>
      <c r="F38" s="109">
        <f t="shared" si="5"/>
        <v>9920</v>
      </c>
      <c r="G38" s="115">
        <v>9920</v>
      </c>
      <c r="H38" s="115">
        <v>0</v>
      </c>
      <c r="I38" s="115">
        <f t="shared" si="9"/>
        <v>5360</v>
      </c>
      <c r="J38" s="109">
        <f t="shared" si="13"/>
        <v>6140</v>
      </c>
      <c r="K38" s="115">
        <v>780</v>
      </c>
      <c r="L38" s="115">
        <v>5360</v>
      </c>
      <c r="M38" s="115">
        <f t="shared" si="7"/>
        <v>4560</v>
      </c>
      <c r="N38" s="115">
        <f t="shared" si="4"/>
        <v>4560</v>
      </c>
      <c r="O38" s="116">
        <f t="shared" si="6"/>
        <v>54.032258064516128</v>
      </c>
      <c r="Q38">
        <v>5360</v>
      </c>
    </row>
    <row r="39" spans="2:17" ht="13.5" x14ac:dyDescent="0.25">
      <c r="B39" s="112" t="s">
        <v>94</v>
      </c>
      <c r="C39" s="113" t="s">
        <v>95</v>
      </c>
      <c r="D39" s="109">
        <v>11850</v>
      </c>
      <c r="E39" s="109">
        <v>-10250</v>
      </c>
      <c r="F39" s="109">
        <f t="shared" si="5"/>
        <v>1600</v>
      </c>
      <c r="G39" s="115">
        <v>1600</v>
      </c>
      <c r="H39" s="115"/>
      <c r="I39" s="115">
        <f t="shared" si="9"/>
        <v>0</v>
      </c>
      <c r="J39" s="109">
        <f t="shared" si="13"/>
        <v>0</v>
      </c>
      <c r="K39" s="115"/>
      <c r="L39" s="115"/>
      <c r="M39" s="115">
        <f t="shared" si="7"/>
        <v>1600</v>
      </c>
      <c r="N39" s="115">
        <f t="shared" si="4"/>
        <v>1600</v>
      </c>
      <c r="O39" s="116">
        <f t="shared" si="6"/>
        <v>0</v>
      </c>
      <c r="Q39">
        <v>0</v>
      </c>
    </row>
    <row r="40" spans="2:17" ht="13.5" x14ac:dyDescent="0.25">
      <c r="B40" s="112" t="s">
        <v>96</v>
      </c>
      <c r="C40" s="113" t="s">
        <v>97</v>
      </c>
      <c r="D40" s="109">
        <v>48000</v>
      </c>
      <c r="E40" s="109">
        <v>-4500</v>
      </c>
      <c r="F40" s="109">
        <f t="shared" si="5"/>
        <v>43500</v>
      </c>
      <c r="G40" s="115">
        <v>43500</v>
      </c>
      <c r="H40" s="115">
        <v>0</v>
      </c>
      <c r="I40" s="115">
        <f t="shared" si="9"/>
        <v>38859.1</v>
      </c>
      <c r="J40" s="109">
        <f t="shared" si="13"/>
        <v>77554.489999999991</v>
      </c>
      <c r="K40" s="115">
        <f>23695.39+15000</f>
        <v>38695.39</v>
      </c>
      <c r="L40" s="115">
        <v>2976.74</v>
      </c>
      <c r="M40" s="115">
        <f t="shared" si="7"/>
        <v>4640.9000000000015</v>
      </c>
      <c r="N40" s="115">
        <f t="shared" si="4"/>
        <v>4640.9000000000015</v>
      </c>
      <c r="O40" s="116">
        <f t="shared" si="6"/>
        <v>89.33126436781609</v>
      </c>
      <c r="Q40">
        <v>38859.1</v>
      </c>
    </row>
    <row r="41" spans="2:17" ht="13.5" x14ac:dyDescent="0.25">
      <c r="B41" s="112" t="s">
        <v>98</v>
      </c>
      <c r="C41" s="113" t="s">
        <v>99</v>
      </c>
      <c r="D41" s="109">
        <v>6250</v>
      </c>
      <c r="E41" s="109">
        <v>-5150</v>
      </c>
      <c r="F41" s="109">
        <f t="shared" si="5"/>
        <v>1100</v>
      </c>
      <c r="G41" s="115">
        <v>1100</v>
      </c>
      <c r="H41" s="115">
        <v>0</v>
      </c>
      <c r="I41" s="115">
        <f t="shared" si="9"/>
        <v>513.6</v>
      </c>
      <c r="J41" s="109">
        <f t="shared" si="13"/>
        <v>938.6</v>
      </c>
      <c r="K41" s="115">
        <v>425</v>
      </c>
      <c r="L41" s="115">
        <v>289</v>
      </c>
      <c r="M41" s="115">
        <f t="shared" si="7"/>
        <v>586.4</v>
      </c>
      <c r="N41" s="115">
        <f t="shared" si="4"/>
        <v>586.4</v>
      </c>
      <c r="O41" s="116">
        <f t="shared" si="6"/>
        <v>46.690909090909088</v>
      </c>
      <c r="Q41">
        <v>513.6</v>
      </c>
    </row>
    <row r="42" spans="2:17" ht="13.5" x14ac:dyDescent="0.25">
      <c r="B42" s="112" t="s">
        <v>100</v>
      </c>
      <c r="C42" s="113" t="s">
        <v>101</v>
      </c>
      <c r="D42" s="109">
        <v>7900</v>
      </c>
      <c r="E42" s="109">
        <v>0</v>
      </c>
      <c r="F42" s="109">
        <f t="shared" si="5"/>
        <v>7900</v>
      </c>
      <c r="G42" s="115">
        <v>7900</v>
      </c>
      <c r="H42" s="115">
        <v>0</v>
      </c>
      <c r="I42" s="115">
        <f t="shared" si="9"/>
        <v>7493.45</v>
      </c>
      <c r="J42" s="109">
        <f t="shared" si="13"/>
        <v>12843.45</v>
      </c>
      <c r="K42" s="115">
        <v>5350</v>
      </c>
      <c r="L42" s="115">
        <v>2568</v>
      </c>
      <c r="M42" s="115">
        <f t="shared" si="7"/>
        <v>406.55000000000018</v>
      </c>
      <c r="N42" s="115">
        <f t="shared" si="4"/>
        <v>406.55000000000018</v>
      </c>
      <c r="O42" s="116">
        <f t="shared" si="6"/>
        <v>94.853797468354429</v>
      </c>
      <c r="Q42">
        <v>7493.45</v>
      </c>
    </row>
    <row r="43" spans="2:17" ht="13.5" x14ac:dyDescent="0.25">
      <c r="B43" s="112" t="s">
        <v>102</v>
      </c>
      <c r="C43" s="113" t="s">
        <v>103</v>
      </c>
      <c r="D43" s="109">
        <v>32950</v>
      </c>
      <c r="E43" s="109">
        <v>-8500</v>
      </c>
      <c r="F43" s="109">
        <f t="shared" si="5"/>
        <v>24450</v>
      </c>
      <c r="G43" s="115">
        <v>24450</v>
      </c>
      <c r="H43" s="115">
        <v>0</v>
      </c>
      <c r="I43" s="115">
        <f t="shared" si="9"/>
        <v>20632.77</v>
      </c>
      <c r="J43" s="109">
        <f t="shared" si="13"/>
        <v>20632.77</v>
      </c>
      <c r="K43" s="115"/>
      <c r="L43" s="115">
        <v>12297.47</v>
      </c>
      <c r="M43" s="115">
        <f t="shared" si="7"/>
        <v>3817.2299999999996</v>
      </c>
      <c r="N43" s="115">
        <f t="shared" si="4"/>
        <v>3817.2299999999996</v>
      </c>
      <c r="O43" s="116">
        <f t="shared" si="6"/>
        <v>84.387607361963191</v>
      </c>
      <c r="Q43">
        <v>20632.77</v>
      </c>
    </row>
    <row r="44" spans="2:17" x14ac:dyDescent="0.2">
      <c r="B44" s="119" t="s">
        <v>104</v>
      </c>
      <c r="C44" s="120" t="s">
        <v>105</v>
      </c>
      <c r="D44" s="106">
        <f>SUM(D45:D51)</f>
        <v>4135000</v>
      </c>
      <c r="E44" s="106">
        <f>SUM(E45:E51)</f>
        <v>-487350</v>
      </c>
      <c r="F44" s="106">
        <f t="shared" si="5"/>
        <v>3647650</v>
      </c>
      <c r="G44" s="106">
        <f>SUM(G45:G51)</f>
        <v>3647650</v>
      </c>
      <c r="H44" s="106">
        <f>SUM(H45:H51)</f>
        <v>258118.39</v>
      </c>
      <c r="I44" s="106">
        <f>SUM(I45:I51)</f>
        <v>3002589.73</v>
      </c>
      <c r="J44" s="106">
        <f t="shared" si="13"/>
        <v>3050318.73</v>
      </c>
      <c r="K44" s="106">
        <f>SUM(K45:K51)</f>
        <v>47729</v>
      </c>
      <c r="L44" s="106">
        <f>SUM(L45:L51)</f>
        <v>2812403.2499999995</v>
      </c>
      <c r="M44" s="110">
        <f t="shared" si="7"/>
        <v>645060.27</v>
      </c>
      <c r="N44" s="110">
        <f t="shared" si="4"/>
        <v>645060.27</v>
      </c>
      <c r="O44" s="111">
        <f t="shared" si="6"/>
        <v>82.315730127616405</v>
      </c>
      <c r="Q44">
        <v>2742492.86</v>
      </c>
    </row>
    <row r="45" spans="2:17" ht="13.5" x14ac:dyDescent="0.25">
      <c r="B45" s="118" t="s">
        <v>106</v>
      </c>
      <c r="C45" s="114" t="s">
        <v>107</v>
      </c>
      <c r="D45" s="109">
        <v>151000</v>
      </c>
      <c r="E45" s="109">
        <v>-10000</v>
      </c>
      <c r="F45" s="109">
        <f t="shared" si="5"/>
        <v>141000</v>
      </c>
      <c r="G45" s="109">
        <v>141000</v>
      </c>
      <c r="H45" s="115">
        <v>0</v>
      </c>
      <c r="I45" s="115">
        <f t="shared" ref="I45:I51" si="14">+H45+Q45</f>
        <v>122987.4</v>
      </c>
      <c r="J45" s="109">
        <f t="shared" si="13"/>
        <v>122987.4</v>
      </c>
      <c r="K45" s="115"/>
      <c r="L45" s="115">
        <v>122987.31</v>
      </c>
      <c r="M45" s="115">
        <f t="shared" si="7"/>
        <v>18012.600000000006</v>
      </c>
      <c r="N45" s="115">
        <f t="shared" si="4"/>
        <v>18012.600000000006</v>
      </c>
      <c r="O45" s="116">
        <f t="shared" si="6"/>
        <v>87.225106382978723</v>
      </c>
      <c r="Q45">
        <v>122987.4</v>
      </c>
    </row>
    <row r="46" spans="2:17" ht="13.5" x14ac:dyDescent="0.25">
      <c r="B46" s="112" t="s">
        <v>108</v>
      </c>
      <c r="C46" s="113" t="s">
        <v>109</v>
      </c>
      <c r="D46" s="109">
        <v>22000</v>
      </c>
      <c r="E46" s="109">
        <v>70000</v>
      </c>
      <c r="F46" s="109">
        <f t="shared" si="5"/>
        <v>92000</v>
      </c>
      <c r="G46" s="109">
        <v>92000</v>
      </c>
      <c r="H46" s="115">
        <v>622.91</v>
      </c>
      <c r="I46" s="115">
        <f t="shared" si="14"/>
        <v>63676.05000000001</v>
      </c>
      <c r="J46" s="109">
        <f t="shared" si="13"/>
        <v>108394.55000000002</v>
      </c>
      <c r="K46" s="115">
        <f>41118.5+3600</f>
        <v>44718.5</v>
      </c>
      <c r="L46" s="115">
        <v>61860.52</v>
      </c>
      <c r="M46" s="115">
        <f t="shared" si="7"/>
        <v>28323.94999999999</v>
      </c>
      <c r="N46" s="115">
        <f t="shared" si="4"/>
        <v>28323.94999999999</v>
      </c>
      <c r="O46" s="116">
        <f t="shared" si="6"/>
        <v>69.213097826086965</v>
      </c>
      <c r="Q46">
        <v>63053.140000000007</v>
      </c>
    </row>
    <row r="47" spans="2:17" ht="13.5" x14ac:dyDescent="0.25">
      <c r="B47" s="112" t="s">
        <v>110</v>
      </c>
      <c r="C47" s="113" t="s">
        <v>111</v>
      </c>
      <c r="D47" s="109">
        <v>2000</v>
      </c>
      <c r="E47" s="109"/>
      <c r="F47" s="109">
        <f t="shared" si="5"/>
        <v>2000</v>
      </c>
      <c r="G47" s="109">
        <v>2000</v>
      </c>
      <c r="H47" s="115">
        <v>0</v>
      </c>
      <c r="I47" s="115">
        <f t="shared" si="14"/>
        <v>170.15</v>
      </c>
      <c r="J47" s="109">
        <f t="shared" si="13"/>
        <v>183.65</v>
      </c>
      <c r="K47" s="115">
        <v>13.5</v>
      </c>
      <c r="L47" s="115">
        <v>169.72</v>
      </c>
      <c r="M47" s="115">
        <f t="shared" si="7"/>
        <v>1829.85</v>
      </c>
      <c r="N47" s="115">
        <f t="shared" si="4"/>
        <v>1829.85</v>
      </c>
      <c r="O47" s="116">
        <f t="shared" si="6"/>
        <v>8.5075000000000003</v>
      </c>
      <c r="Q47">
        <v>170.15</v>
      </c>
    </row>
    <row r="48" spans="2:17" ht="13.5" x14ac:dyDescent="0.25">
      <c r="B48" s="112" t="s">
        <v>112</v>
      </c>
      <c r="C48" s="113" t="s">
        <v>113</v>
      </c>
      <c r="D48" s="109">
        <v>3485000</v>
      </c>
      <c r="E48" s="109">
        <v>-761050</v>
      </c>
      <c r="F48" s="109">
        <f t="shared" si="5"/>
        <v>2723950</v>
      </c>
      <c r="G48" s="109">
        <v>2723950</v>
      </c>
      <c r="H48" s="115">
        <v>210059.94</v>
      </c>
      <c r="I48" s="115">
        <f t="shared" si="14"/>
        <v>2213776.2599999998</v>
      </c>
      <c r="J48" s="109">
        <f t="shared" si="13"/>
        <v>2213776.2599999998</v>
      </c>
      <c r="K48" s="115"/>
      <c r="L48" s="115">
        <v>2213776.69</v>
      </c>
      <c r="M48" s="115">
        <f t="shared" si="7"/>
        <v>510173.74000000022</v>
      </c>
      <c r="N48" s="115">
        <f t="shared" si="4"/>
        <v>510173.74000000022</v>
      </c>
      <c r="O48" s="116">
        <f t="shared" si="6"/>
        <v>81.270811138236738</v>
      </c>
      <c r="Q48">
        <v>2003716.3199999998</v>
      </c>
    </row>
    <row r="49" spans="2:17" ht="13.5" x14ac:dyDescent="0.25">
      <c r="B49" s="112" t="s">
        <v>114</v>
      </c>
      <c r="C49" s="113" t="s">
        <v>115</v>
      </c>
      <c r="D49" s="109">
        <v>463000</v>
      </c>
      <c r="E49" s="109">
        <v>32500</v>
      </c>
      <c r="F49" s="109">
        <f t="shared" si="5"/>
        <v>495500</v>
      </c>
      <c r="G49" s="109">
        <v>495500</v>
      </c>
      <c r="H49" s="115">
        <v>36636</v>
      </c>
      <c r="I49" s="115">
        <f>+Q49+H49</f>
        <v>471947.60000000003</v>
      </c>
      <c r="J49" s="109">
        <f t="shared" si="13"/>
        <v>471947.60000000003</v>
      </c>
      <c r="K49" s="115"/>
      <c r="L49" s="115">
        <v>411839.84</v>
      </c>
      <c r="M49" s="115">
        <f t="shared" si="7"/>
        <v>23552.399999999965</v>
      </c>
      <c r="N49" s="115">
        <f t="shared" si="4"/>
        <v>23552.399999999965</v>
      </c>
      <c r="O49" s="116">
        <f t="shared" si="6"/>
        <v>95.24674066599394</v>
      </c>
      <c r="Q49">
        <v>435311.60000000003</v>
      </c>
    </row>
    <row r="50" spans="2:17" ht="15" customHeight="1" x14ac:dyDescent="0.25">
      <c r="B50" s="112">
        <v>116</v>
      </c>
      <c r="C50" s="113" t="s">
        <v>335</v>
      </c>
      <c r="D50" s="109"/>
      <c r="E50" s="109">
        <v>166200</v>
      </c>
      <c r="F50" s="109">
        <f t="shared" si="5"/>
        <v>166200</v>
      </c>
      <c r="G50" s="109">
        <v>166200</v>
      </c>
      <c r="H50" s="115">
        <v>0</v>
      </c>
      <c r="I50" s="115">
        <f t="shared" si="14"/>
        <v>109395.06000000001</v>
      </c>
      <c r="J50" s="109">
        <f t="shared" si="13"/>
        <v>112392.06000000001</v>
      </c>
      <c r="K50" s="115">
        <v>2997</v>
      </c>
      <c r="L50" s="115">
        <v>749.28</v>
      </c>
      <c r="M50" s="115">
        <f t="shared" si="7"/>
        <v>56804.939999999988</v>
      </c>
      <c r="N50" s="115">
        <f t="shared" si="4"/>
        <v>56804.939999999988</v>
      </c>
      <c r="O50" s="116">
        <f t="shared" si="6"/>
        <v>65.821335740072215</v>
      </c>
      <c r="Q50">
        <v>109395.06000000001</v>
      </c>
    </row>
    <row r="51" spans="2:17" ht="13.5" x14ac:dyDescent="0.25">
      <c r="B51" s="112">
        <v>117</v>
      </c>
      <c r="C51" s="113" t="s">
        <v>380</v>
      </c>
      <c r="D51" s="109">
        <v>12000</v>
      </c>
      <c r="E51" s="109">
        <v>15000</v>
      </c>
      <c r="F51" s="109">
        <f t="shared" si="5"/>
        <v>27000</v>
      </c>
      <c r="G51" s="109">
        <v>27000</v>
      </c>
      <c r="H51" s="115">
        <v>10799.54</v>
      </c>
      <c r="I51" s="115">
        <f t="shared" si="14"/>
        <v>20637.21</v>
      </c>
      <c r="J51" s="109">
        <f t="shared" si="13"/>
        <v>20637.21</v>
      </c>
      <c r="K51" s="115"/>
      <c r="L51" s="115">
        <v>1019.89</v>
      </c>
      <c r="M51" s="115">
        <f t="shared" si="7"/>
        <v>6362.7900000000009</v>
      </c>
      <c r="N51" s="115">
        <f t="shared" si="4"/>
        <v>6362.7900000000009</v>
      </c>
      <c r="O51" s="116">
        <f t="shared" si="6"/>
        <v>76.434111111111108</v>
      </c>
      <c r="Q51">
        <f>7859.06+1978.61</f>
        <v>9837.67</v>
      </c>
    </row>
    <row r="52" spans="2:17" ht="12.75" customHeight="1" x14ac:dyDescent="0.2">
      <c r="B52" s="119" t="s">
        <v>116</v>
      </c>
      <c r="C52" s="120" t="s">
        <v>117</v>
      </c>
      <c r="D52" s="106">
        <v>24000</v>
      </c>
      <c r="E52" s="120">
        <v>15700</v>
      </c>
      <c r="F52" s="106">
        <f t="shared" si="5"/>
        <v>39700</v>
      </c>
      <c r="G52" s="110">
        <v>39700</v>
      </c>
      <c r="H52" s="110">
        <v>8.56</v>
      </c>
      <c r="I52" s="110">
        <f>+Q52+H52</f>
        <v>30576.270000000004</v>
      </c>
      <c r="J52" s="106">
        <f t="shared" si="13"/>
        <v>51960.270000000004</v>
      </c>
      <c r="K52" s="110">
        <v>21384</v>
      </c>
      <c r="L52" s="110">
        <v>25303.14</v>
      </c>
      <c r="M52" s="110">
        <f t="shared" si="7"/>
        <v>9123.7299999999959</v>
      </c>
      <c r="N52" s="110">
        <f t="shared" si="4"/>
        <v>9123.7299999999959</v>
      </c>
      <c r="O52" s="111">
        <f t="shared" si="6"/>
        <v>77.018312342569274</v>
      </c>
      <c r="Q52">
        <v>30567.710000000003</v>
      </c>
    </row>
    <row r="53" spans="2:17" ht="13.5" customHeight="1" x14ac:dyDescent="0.2">
      <c r="B53" s="119" t="s">
        <v>118</v>
      </c>
      <c r="C53" s="120" t="s">
        <v>119</v>
      </c>
      <c r="D53" s="106">
        <f>SUM(D54:D56)</f>
        <v>87000</v>
      </c>
      <c r="E53" s="106">
        <f>SUM(E54:E56)</f>
        <v>-68250</v>
      </c>
      <c r="F53" s="106">
        <f t="shared" si="5"/>
        <v>18750</v>
      </c>
      <c r="G53" s="106">
        <f>+G54+G55</f>
        <v>18750</v>
      </c>
      <c r="H53" s="106">
        <f>SUM(H54:H55)</f>
        <v>0</v>
      </c>
      <c r="I53" s="106">
        <f>SUM(I54:I55)</f>
        <v>11011.449999999999</v>
      </c>
      <c r="J53" s="106">
        <f t="shared" si="13"/>
        <v>11545.449999999999</v>
      </c>
      <c r="K53" s="106">
        <f>SUM(K54:K55)</f>
        <v>534</v>
      </c>
      <c r="L53" s="106">
        <f>SUM(L54:L55)</f>
        <v>8818.59</v>
      </c>
      <c r="M53" s="110">
        <f t="shared" si="7"/>
        <v>7738.5500000000011</v>
      </c>
      <c r="N53" s="110">
        <f t="shared" si="4"/>
        <v>7738.5500000000011</v>
      </c>
      <c r="O53" s="111">
        <f t="shared" si="6"/>
        <v>58.727733333333333</v>
      </c>
      <c r="Q53">
        <v>11011.449999999999</v>
      </c>
    </row>
    <row r="54" spans="2:17" ht="13.5" x14ac:dyDescent="0.25">
      <c r="B54" s="112" t="s">
        <v>120</v>
      </c>
      <c r="C54" s="114" t="s">
        <v>121</v>
      </c>
      <c r="D54" s="109">
        <v>51370</v>
      </c>
      <c r="E54" s="109">
        <v>-39700</v>
      </c>
      <c r="F54" s="109">
        <f t="shared" si="5"/>
        <v>11670</v>
      </c>
      <c r="G54" s="115">
        <v>11670</v>
      </c>
      <c r="H54" s="115">
        <v>0</v>
      </c>
      <c r="I54" s="115">
        <f>+Q54+H54</f>
        <v>10024.4</v>
      </c>
      <c r="J54" s="109">
        <f t="shared" si="13"/>
        <v>10072.4</v>
      </c>
      <c r="K54" s="115">
        <v>48</v>
      </c>
      <c r="L54" s="115">
        <v>8045.99</v>
      </c>
      <c r="M54" s="115">
        <f t="shared" si="7"/>
        <v>1645.6000000000004</v>
      </c>
      <c r="N54" s="115">
        <f t="shared" si="4"/>
        <v>1645.6000000000004</v>
      </c>
      <c r="O54" s="116">
        <f t="shared" si="6"/>
        <v>85.898886032562132</v>
      </c>
      <c r="Q54">
        <v>10024.4</v>
      </c>
    </row>
    <row r="55" spans="2:17" ht="12.75" customHeight="1" x14ac:dyDescent="0.25">
      <c r="B55" s="112" t="s">
        <v>299</v>
      </c>
      <c r="C55" s="114" t="s">
        <v>300</v>
      </c>
      <c r="D55" s="109">
        <v>35630</v>
      </c>
      <c r="E55" s="109">
        <v>-28550</v>
      </c>
      <c r="F55" s="109">
        <f t="shared" si="5"/>
        <v>7080</v>
      </c>
      <c r="G55" s="109">
        <v>7080</v>
      </c>
      <c r="H55" s="109">
        <v>0</v>
      </c>
      <c r="I55" s="115">
        <f>+Q55+H55</f>
        <v>987.05000000000007</v>
      </c>
      <c r="J55" s="109">
        <f t="shared" si="13"/>
        <v>1473.0500000000002</v>
      </c>
      <c r="K55" s="109">
        <v>486</v>
      </c>
      <c r="L55" s="109">
        <v>772.6</v>
      </c>
      <c r="M55" s="115">
        <f t="shared" si="7"/>
        <v>6092.95</v>
      </c>
      <c r="N55" s="115">
        <f t="shared" si="4"/>
        <v>6092.95</v>
      </c>
      <c r="O55" s="116">
        <f t="shared" si="6"/>
        <v>13.94138418079096</v>
      </c>
      <c r="Q55">
        <v>987.05000000000007</v>
      </c>
    </row>
    <row r="56" spans="2:17" ht="13.5" hidden="1" x14ac:dyDescent="0.25">
      <c r="B56" s="121">
        <v>139</v>
      </c>
      <c r="C56" s="114" t="s">
        <v>122</v>
      </c>
      <c r="D56" s="109">
        <v>0</v>
      </c>
      <c r="E56" s="109">
        <v>0</v>
      </c>
      <c r="F56" s="109">
        <f t="shared" si="5"/>
        <v>0</v>
      </c>
      <c r="G56" s="115">
        <v>0</v>
      </c>
      <c r="H56" s="115"/>
      <c r="I56" s="115">
        <f>+H56+Q56</f>
        <v>0</v>
      </c>
      <c r="J56" s="115"/>
      <c r="K56" s="115"/>
      <c r="L56" s="115"/>
      <c r="M56" s="115">
        <f t="shared" ref="M56" si="15">+G56-I56</f>
        <v>0</v>
      </c>
      <c r="N56" s="115">
        <f t="shared" si="4"/>
        <v>0</v>
      </c>
      <c r="O56" s="116" t="s">
        <v>2</v>
      </c>
    </row>
    <row r="57" spans="2:17" hidden="1" x14ac:dyDescent="0.2">
      <c r="B57" s="88" t="s">
        <v>401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7" ht="12" hidden="1" customHeight="1" x14ac:dyDescent="0.2">
      <c r="B58" s="88" t="s">
        <v>403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7" hidden="1" x14ac:dyDescent="0.2"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</row>
    <row r="60" spans="2:17" ht="3.75" hidden="1" customHeight="1" x14ac:dyDescent="0.2"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</row>
    <row r="61" spans="2:17" ht="12.75" hidden="1" customHeight="1" x14ac:dyDescent="0.2">
      <c r="B61" s="122" t="s">
        <v>42</v>
      </c>
      <c r="C61" s="123"/>
      <c r="D61" s="124" t="s">
        <v>17</v>
      </c>
      <c r="E61" s="125"/>
      <c r="F61" s="125"/>
      <c r="G61" s="126"/>
      <c r="H61" s="127" t="s">
        <v>43</v>
      </c>
      <c r="I61" s="128"/>
      <c r="J61" s="94" t="s">
        <v>398</v>
      </c>
      <c r="K61" s="94"/>
      <c r="L61" s="94" t="s">
        <v>44</v>
      </c>
      <c r="M61" s="127" t="s">
        <v>14</v>
      </c>
      <c r="N61" s="128"/>
      <c r="O61" s="129" t="s">
        <v>45</v>
      </c>
    </row>
    <row r="62" spans="2:17" hidden="1" x14ac:dyDescent="0.2">
      <c r="B62" s="130"/>
      <c r="C62" s="131"/>
      <c r="D62" s="132"/>
      <c r="E62" s="133"/>
      <c r="F62" s="133"/>
      <c r="G62" s="134"/>
      <c r="H62" s="135"/>
      <c r="I62" s="136"/>
      <c r="J62" s="96"/>
      <c r="K62" s="96"/>
      <c r="L62" s="96"/>
      <c r="M62" s="135"/>
      <c r="N62" s="136"/>
      <c r="O62" s="137"/>
    </row>
    <row r="63" spans="2:17" hidden="1" x14ac:dyDescent="0.2">
      <c r="B63" s="138"/>
      <c r="C63" s="139"/>
      <c r="D63" s="97" t="s">
        <v>46</v>
      </c>
      <c r="E63" s="97" t="s">
        <v>47</v>
      </c>
      <c r="F63" s="97" t="s">
        <v>48</v>
      </c>
      <c r="G63" s="97" t="s">
        <v>1</v>
      </c>
      <c r="H63" s="98" t="s">
        <v>18</v>
      </c>
      <c r="I63" s="99" t="s">
        <v>49</v>
      </c>
      <c r="J63" s="100"/>
      <c r="K63" s="101" t="s">
        <v>396</v>
      </c>
      <c r="L63" s="140"/>
      <c r="M63" s="102" t="s">
        <v>50</v>
      </c>
      <c r="N63" s="103" t="s">
        <v>16</v>
      </c>
      <c r="O63" s="141"/>
    </row>
    <row r="64" spans="2:17" x14ac:dyDescent="0.2">
      <c r="B64" s="119" t="s">
        <v>123</v>
      </c>
      <c r="C64" s="120" t="s">
        <v>124</v>
      </c>
      <c r="D64" s="106">
        <f>SUM(D65:D67)</f>
        <v>210000</v>
      </c>
      <c r="E64" s="106">
        <f>SUM(E65:E67)</f>
        <v>100120</v>
      </c>
      <c r="F64" s="106">
        <f t="shared" si="5"/>
        <v>310120</v>
      </c>
      <c r="G64" s="106">
        <f>+G65+G66+G67</f>
        <v>310120</v>
      </c>
      <c r="H64" s="106">
        <f>SUM(H65:H67)</f>
        <v>11804</v>
      </c>
      <c r="I64" s="106">
        <f>SUM(I65:I67)</f>
        <v>277587.95</v>
      </c>
      <c r="J64" s="106">
        <f t="shared" ref="J64:J117" si="16">+I64+K64</f>
        <v>297157.95</v>
      </c>
      <c r="K64" s="106">
        <f>SUM(K65:K67)</f>
        <v>19570</v>
      </c>
      <c r="L64" s="106">
        <f>SUM(L65:L67)</f>
        <v>277588</v>
      </c>
      <c r="M64" s="110">
        <f t="shared" ref="M64:M117" si="17">+G64-I64</f>
        <v>32532.049999999988</v>
      </c>
      <c r="N64" s="110">
        <f t="shared" si="4"/>
        <v>32532.049999999988</v>
      </c>
      <c r="O64" s="111">
        <f t="shared" si="6"/>
        <v>89.509851025409517</v>
      </c>
      <c r="P64" s="4"/>
      <c r="Q64">
        <v>265783.95</v>
      </c>
    </row>
    <row r="65" spans="2:17" ht="13.5" x14ac:dyDescent="0.25">
      <c r="B65" s="118" t="s">
        <v>125</v>
      </c>
      <c r="C65" s="114" t="s">
        <v>126</v>
      </c>
      <c r="D65" s="109">
        <v>128050</v>
      </c>
      <c r="E65" s="109">
        <v>130800</v>
      </c>
      <c r="F65" s="109">
        <f t="shared" si="5"/>
        <v>258850</v>
      </c>
      <c r="G65" s="109">
        <v>258850</v>
      </c>
      <c r="H65" s="109">
        <v>7324</v>
      </c>
      <c r="I65" s="115">
        <f>+Q65+H65</f>
        <v>235809.5</v>
      </c>
      <c r="J65" s="109">
        <f t="shared" si="16"/>
        <v>251819.5</v>
      </c>
      <c r="K65" s="109">
        <v>16010</v>
      </c>
      <c r="L65" s="109">
        <v>235810</v>
      </c>
      <c r="M65" s="115">
        <f t="shared" si="17"/>
        <v>23040.5</v>
      </c>
      <c r="N65" s="115">
        <f t="shared" si="4"/>
        <v>23040.5</v>
      </c>
      <c r="O65" s="116">
        <f t="shared" si="6"/>
        <v>91.09889897624106</v>
      </c>
      <c r="Q65">
        <v>228485.5</v>
      </c>
    </row>
    <row r="66" spans="2:17" ht="13.5" x14ac:dyDescent="0.25">
      <c r="B66" s="112" t="s">
        <v>127</v>
      </c>
      <c r="C66" s="113" t="s">
        <v>128</v>
      </c>
      <c r="D66" s="109">
        <v>62450</v>
      </c>
      <c r="E66" s="109">
        <v>-22600</v>
      </c>
      <c r="F66" s="109">
        <f t="shared" si="5"/>
        <v>39850</v>
      </c>
      <c r="G66" s="115">
        <v>39850</v>
      </c>
      <c r="H66" s="115">
        <v>4250</v>
      </c>
      <c r="I66" s="115">
        <f>+Q66+H66</f>
        <v>33550.449999999997</v>
      </c>
      <c r="J66" s="109">
        <f t="shared" si="16"/>
        <v>36350.449999999997</v>
      </c>
      <c r="K66" s="115">
        <v>2800</v>
      </c>
      <c r="L66" s="115">
        <v>33550</v>
      </c>
      <c r="M66" s="115">
        <f t="shared" si="17"/>
        <v>6299.5500000000029</v>
      </c>
      <c r="N66" s="115">
        <f t="shared" si="4"/>
        <v>6299.5500000000029</v>
      </c>
      <c r="O66" s="116">
        <f t="shared" si="6"/>
        <v>84.191844416562091</v>
      </c>
      <c r="Q66">
        <v>29300.45</v>
      </c>
    </row>
    <row r="67" spans="2:17" ht="13.5" x14ac:dyDescent="0.25">
      <c r="B67" s="112">
        <v>143</v>
      </c>
      <c r="C67" s="113" t="s">
        <v>129</v>
      </c>
      <c r="D67" s="109">
        <v>19500</v>
      </c>
      <c r="E67" s="109">
        <v>-8080</v>
      </c>
      <c r="F67" s="109">
        <f t="shared" si="5"/>
        <v>11420</v>
      </c>
      <c r="G67" s="115">
        <v>11420</v>
      </c>
      <c r="H67" s="115">
        <v>230</v>
      </c>
      <c r="I67" s="115">
        <f>+Q67+H67</f>
        <v>8228</v>
      </c>
      <c r="J67" s="109">
        <f t="shared" si="16"/>
        <v>8988</v>
      </c>
      <c r="K67" s="115">
        <v>760</v>
      </c>
      <c r="L67" s="115">
        <v>8228</v>
      </c>
      <c r="M67" s="115">
        <f t="shared" si="17"/>
        <v>3192</v>
      </c>
      <c r="N67" s="115">
        <f t="shared" si="4"/>
        <v>3192</v>
      </c>
      <c r="O67" s="116">
        <f t="shared" si="6"/>
        <v>72.049036777583183</v>
      </c>
      <c r="Q67">
        <v>7998</v>
      </c>
    </row>
    <row r="68" spans="2:17" x14ac:dyDescent="0.2">
      <c r="B68" s="119" t="s">
        <v>130</v>
      </c>
      <c r="C68" s="120" t="s">
        <v>131</v>
      </c>
      <c r="D68" s="106">
        <f>SUM(D69:D71)</f>
        <v>125000</v>
      </c>
      <c r="E68" s="106">
        <f>SUM(E69:E72)</f>
        <v>28916</v>
      </c>
      <c r="F68" s="106">
        <f t="shared" si="5"/>
        <v>153916</v>
      </c>
      <c r="G68" s="106">
        <f>+G69+G70+G71+G72</f>
        <v>153916</v>
      </c>
      <c r="H68" s="106">
        <f>SUM(H69:H72)</f>
        <v>4805.24</v>
      </c>
      <c r="I68" s="106">
        <f>SUM(I69:I72)</f>
        <v>112784.95999999998</v>
      </c>
      <c r="J68" s="106">
        <f t="shared" si="16"/>
        <v>121985.87999999998</v>
      </c>
      <c r="K68" s="106">
        <f>SUM(K69:K72)</f>
        <v>9200.92</v>
      </c>
      <c r="L68" s="106">
        <f>SUM(L69:L72)</f>
        <v>77256.799999999988</v>
      </c>
      <c r="M68" s="110">
        <f t="shared" si="17"/>
        <v>41131.040000000023</v>
      </c>
      <c r="N68" s="110">
        <f t="shared" si="4"/>
        <v>41131.040000000023</v>
      </c>
      <c r="O68" s="111">
        <f t="shared" si="6"/>
        <v>73.276956261857109</v>
      </c>
      <c r="Q68">
        <v>107979.71999999999</v>
      </c>
    </row>
    <row r="69" spans="2:17" ht="13.5" x14ac:dyDescent="0.25">
      <c r="B69" s="118" t="s">
        <v>132</v>
      </c>
      <c r="C69" s="114" t="s">
        <v>126</v>
      </c>
      <c r="D69" s="109">
        <v>69400</v>
      </c>
      <c r="E69" s="109">
        <v>49500</v>
      </c>
      <c r="F69" s="109">
        <f t="shared" si="5"/>
        <v>118900</v>
      </c>
      <c r="G69" s="109">
        <v>118900</v>
      </c>
      <c r="H69" s="109">
        <v>4701</v>
      </c>
      <c r="I69" s="115">
        <f>+Q69+H69</f>
        <v>89783.859999999986</v>
      </c>
      <c r="J69" s="109">
        <f t="shared" si="16"/>
        <v>98705.859999999986</v>
      </c>
      <c r="K69" s="109">
        <v>8922</v>
      </c>
      <c r="L69" s="109">
        <v>71705.759999999995</v>
      </c>
      <c r="M69" s="115">
        <f t="shared" si="17"/>
        <v>29116.140000000014</v>
      </c>
      <c r="N69" s="115">
        <f t="shared" si="4"/>
        <v>29116.140000000014</v>
      </c>
      <c r="O69" s="116">
        <f t="shared" si="6"/>
        <v>75.512077375946163</v>
      </c>
      <c r="Q69">
        <v>85082.859999999986</v>
      </c>
    </row>
    <row r="70" spans="2:17" ht="13.5" x14ac:dyDescent="0.25">
      <c r="B70" s="112" t="s">
        <v>133</v>
      </c>
      <c r="C70" s="113" t="s">
        <v>128</v>
      </c>
      <c r="D70" s="109">
        <v>43900</v>
      </c>
      <c r="E70" s="109">
        <v>-22784</v>
      </c>
      <c r="F70" s="109">
        <f t="shared" si="5"/>
        <v>21116</v>
      </c>
      <c r="G70" s="109">
        <v>21116</v>
      </c>
      <c r="H70" s="109"/>
      <c r="I70" s="115">
        <f>+Q70+H70</f>
        <v>15047.99</v>
      </c>
      <c r="J70" s="109">
        <f t="shared" si="16"/>
        <v>15047.99</v>
      </c>
      <c r="K70" s="109">
        <v>0</v>
      </c>
      <c r="L70" s="115">
        <v>750</v>
      </c>
      <c r="M70" s="115">
        <f t="shared" si="17"/>
        <v>6068.01</v>
      </c>
      <c r="N70" s="115">
        <f t="shared" si="4"/>
        <v>6068.01</v>
      </c>
      <c r="O70" s="116">
        <f t="shared" si="6"/>
        <v>71.263449516953969</v>
      </c>
      <c r="Q70">
        <v>15047.99</v>
      </c>
    </row>
    <row r="71" spans="2:17" ht="13.5" x14ac:dyDescent="0.25">
      <c r="B71" s="112">
        <v>153</v>
      </c>
      <c r="C71" s="113" t="s">
        <v>134</v>
      </c>
      <c r="D71" s="109">
        <v>11700</v>
      </c>
      <c r="E71" s="109">
        <v>-1100</v>
      </c>
      <c r="F71" s="109">
        <f t="shared" si="5"/>
        <v>10600</v>
      </c>
      <c r="G71" s="115">
        <v>10600</v>
      </c>
      <c r="H71" s="115">
        <v>104.24</v>
      </c>
      <c r="I71" s="115">
        <f>+Q71+H71</f>
        <v>6224.57</v>
      </c>
      <c r="J71" s="109">
        <f t="shared" si="16"/>
        <v>6500.49</v>
      </c>
      <c r="K71" s="115">
        <v>275.92</v>
      </c>
      <c r="L71" s="115">
        <v>3073</v>
      </c>
      <c r="M71" s="115">
        <f t="shared" si="17"/>
        <v>4375.43</v>
      </c>
      <c r="N71" s="115">
        <f t="shared" si="4"/>
        <v>4375.43</v>
      </c>
      <c r="O71" s="116">
        <f t="shared" si="6"/>
        <v>58.722358490566037</v>
      </c>
      <c r="Q71">
        <v>6120.33</v>
      </c>
    </row>
    <row r="72" spans="2:17" ht="14.25" customHeight="1" x14ac:dyDescent="0.25">
      <c r="B72" s="112">
        <v>154</v>
      </c>
      <c r="C72" s="113" t="s">
        <v>382</v>
      </c>
      <c r="D72" s="109"/>
      <c r="E72" s="109">
        <v>3300</v>
      </c>
      <c r="F72" s="109">
        <f t="shared" si="5"/>
        <v>3300</v>
      </c>
      <c r="G72" s="115">
        <v>3300</v>
      </c>
      <c r="H72" s="115">
        <v>0</v>
      </c>
      <c r="I72" s="115">
        <f>+Q72+H72</f>
        <v>1728.54</v>
      </c>
      <c r="J72" s="109">
        <f t="shared" si="16"/>
        <v>1731.54</v>
      </c>
      <c r="K72" s="115">
        <v>3</v>
      </c>
      <c r="L72" s="115">
        <v>1728.04</v>
      </c>
      <c r="M72" s="115">
        <f t="shared" si="17"/>
        <v>1571.46</v>
      </c>
      <c r="N72" s="115">
        <f t="shared" ref="N72" si="18">+F72-I72</f>
        <v>1571.46</v>
      </c>
      <c r="O72" s="116">
        <f t="shared" ref="O72" si="19">+I72*100/G72</f>
        <v>52.38</v>
      </c>
      <c r="Q72">
        <v>1728.54</v>
      </c>
    </row>
    <row r="73" spans="2:17" ht="23.25" customHeight="1" x14ac:dyDescent="0.2">
      <c r="B73" s="119" t="s">
        <v>135</v>
      </c>
      <c r="C73" s="120" t="s">
        <v>136</v>
      </c>
      <c r="D73" s="106">
        <f>+D76+D77+D79</f>
        <v>362000</v>
      </c>
      <c r="E73" s="106">
        <f>SUM(E74:E79)</f>
        <v>552700</v>
      </c>
      <c r="F73" s="106">
        <f>+F76+F77+F79+F78+F75</f>
        <v>914700</v>
      </c>
      <c r="G73" s="106">
        <f>+G76+G77+G79+G78+G75</f>
        <v>914700</v>
      </c>
      <c r="H73" s="106">
        <f>+H76+H77+H79+H78+H75</f>
        <v>20083.46</v>
      </c>
      <c r="I73" s="106">
        <f>+I76+I77+I79+I78+I75</f>
        <v>735487.08000000007</v>
      </c>
      <c r="J73" s="106">
        <f t="shared" si="16"/>
        <v>998966.08000000007</v>
      </c>
      <c r="K73" s="106">
        <f>+K76+K77+K79+K78+K75</f>
        <v>263479</v>
      </c>
      <c r="L73" s="106">
        <f>+L76+L77+L79+L78</f>
        <v>293022.11</v>
      </c>
      <c r="M73" s="110">
        <f t="shared" si="17"/>
        <v>179212.91999999993</v>
      </c>
      <c r="N73" s="110">
        <f t="shared" si="4"/>
        <v>179212.91999999993</v>
      </c>
      <c r="O73" s="111">
        <f t="shared" si="6"/>
        <v>80.407464742538536</v>
      </c>
      <c r="Q73">
        <v>715403.62000000011</v>
      </c>
    </row>
    <row r="74" spans="2:17" ht="13.5" hidden="1" x14ac:dyDescent="0.25">
      <c r="B74" s="118" t="s">
        <v>137</v>
      </c>
      <c r="C74" s="114" t="s">
        <v>138</v>
      </c>
      <c r="D74" s="109">
        <v>0</v>
      </c>
      <c r="E74" s="109"/>
      <c r="F74" s="109">
        <f t="shared" si="5"/>
        <v>0</v>
      </c>
      <c r="G74" s="142">
        <v>0</v>
      </c>
      <c r="H74" s="115"/>
      <c r="I74" s="115">
        <f>+H74+Q74</f>
        <v>0</v>
      </c>
      <c r="J74" s="109">
        <f t="shared" si="16"/>
        <v>0</v>
      </c>
      <c r="K74" s="115"/>
      <c r="L74" s="115"/>
      <c r="M74" s="115">
        <f t="shared" si="17"/>
        <v>0</v>
      </c>
      <c r="N74" s="115">
        <f t="shared" si="4"/>
        <v>0</v>
      </c>
      <c r="O74" s="116"/>
      <c r="Q74">
        <v>0</v>
      </c>
    </row>
    <row r="75" spans="2:17" ht="13.5" customHeight="1" x14ac:dyDescent="0.25">
      <c r="B75" s="118" t="s">
        <v>301</v>
      </c>
      <c r="C75" s="114" t="s">
        <v>414</v>
      </c>
      <c r="D75" s="109">
        <v>0</v>
      </c>
      <c r="E75" s="109">
        <v>16000</v>
      </c>
      <c r="F75" s="109">
        <f t="shared" si="5"/>
        <v>16000</v>
      </c>
      <c r="G75" s="143">
        <v>16000</v>
      </c>
      <c r="H75" s="115"/>
      <c r="I75" s="115">
        <f>+H75+Q75</f>
        <v>0</v>
      </c>
      <c r="J75" s="109">
        <f t="shared" si="16"/>
        <v>0</v>
      </c>
      <c r="K75" s="115">
        <v>0</v>
      </c>
      <c r="L75" s="115"/>
      <c r="M75" s="115">
        <f t="shared" si="17"/>
        <v>16000</v>
      </c>
      <c r="N75" s="115">
        <f t="shared" si="4"/>
        <v>16000</v>
      </c>
      <c r="O75" s="116">
        <f>+I75*100/G77</f>
        <v>0</v>
      </c>
      <c r="Q75">
        <v>0</v>
      </c>
    </row>
    <row r="76" spans="2:17" ht="13.5" x14ac:dyDescent="0.25">
      <c r="B76" s="118" t="s">
        <v>293</v>
      </c>
      <c r="C76" s="114" t="s">
        <v>294</v>
      </c>
      <c r="D76" s="109">
        <v>2900</v>
      </c>
      <c r="E76" s="109">
        <v>-2900</v>
      </c>
      <c r="F76" s="109">
        <f t="shared" si="5"/>
        <v>0</v>
      </c>
      <c r="G76" s="109">
        <v>0</v>
      </c>
      <c r="H76" s="115"/>
      <c r="I76" s="115">
        <f>+H76+Q76</f>
        <v>0</v>
      </c>
      <c r="J76" s="109">
        <f t="shared" si="16"/>
        <v>0</v>
      </c>
      <c r="K76" s="115">
        <v>0</v>
      </c>
      <c r="L76" s="115"/>
      <c r="M76" s="115">
        <f t="shared" si="17"/>
        <v>0</v>
      </c>
      <c r="N76" s="115">
        <f t="shared" si="4"/>
        <v>0</v>
      </c>
      <c r="O76" s="116" t="s">
        <v>2</v>
      </c>
      <c r="Q76">
        <v>0</v>
      </c>
    </row>
    <row r="77" spans="2:17" ht="12.75" customHeight="1" x14ac:dyDescent="0.25">
      <c r="B77" s="118" t="s">
        <v>139</v>
      </c>
      <c r="C77" s="114" t="s">
        <v>140</v>
      </c>
      <c r="D77" s="109">
        <v>85135</v>
      </c>
      <c r="E77" s="109">
        <v>-5000</v>
      </c>
      <c r="F77" s="109">
        <f t="shared" si="5"/>
        <v>80135</v>
      </c>
      <c r="G77" s="109">
        <v>80135</v>
      </c>
      <c r="H77" s="115">
        <v>0</v>
      </c>
      <c r="I77" s="115">
        <f>+Q77+H77</f>
        <v>67020.029999999984</v>
      </c>
      <c r="J77" s="109">
        <f t="shared" si="16"/>
        <v>67079.029999999984</v>
      </c>
      <c r="K77" s="115">
        <v>59</v>
      </c>
      <c r="L77" s="115">
        <v>29454.22</v>
      </c>
      <c r="M77" s="115">
        <f t="shared" si="17"/>
        <v>13114.970000000016</v>
      </c>
      <c r="N77" s="115">
        <f t="shared" si="4"/>
        <v>13114.970000000016</v>
      </c>
      <c r="O77" s="116">
        <f t="shared" si="6"/>
        <v>83.633905284831826</v>
      </c>
      <c r="Q77">
        <v>67020.029999999984</v>
      </c>
    </row>
    <row r="78" spans="2:17" ht="12.75" customHeight="1" x14ac:dyDescent="0.25">
      <c r="B78" s="121">
        <v>165</v>
      </c>
      <c r="C78" s="114" t="s">
        <v>141</v>
      </c>
      <c r="D78" s="109"/>
      <c r="E78" s="109">
        <v>202000</v>
      </c>
      <c r="F78" s="109">
        <f t="shared" si="5"/>
        <v>202000</v>
      </c>
      <c r="G78" s="109">
        <v>202000</v>
      </c>
      <c r="H78" s="115">
        <v>20309.939999999999</v>
      </c>
      <c r="I78" s="115">
        <f>+H78+Q78</f>
        <v>151272</v>
      </c>
      <c r="J78" s="109">
        <f t="shared" si="16"/>
        <v>304268</v>
      </c>
      <c r="K78" s="115">
        <v>152996</v>
      </c>
      <c r="L78" s="115">
        <v>72619.350000000006</v>
      </c>
      <c r="M78" s="115">
        <f t="shared" si="17"/>
        <v>50728</v>
      </c>
      <c r="N78" s="115">
        <f t="shared" si="4"/>
        <v>50728</v>
      </c>
      <c r="O78" s="116">
        <f t="shared" si="6"/>
        <v>74.887128712871288</v>
      </c>
      <c r="Q78">
        <v>130962.06000000001</v>
      </c>
    </row>
    <row r="79" spans="2:17" ht="13.5" x14ac:dyDescent="0.25">
      <c r="B79" s="112" t="s">
        <v>142</v>
      </c>
      <c r="C79" s="113" t="s">
        <v>143</v>
      </c>
      <c r="D79" s="109">
        <v>273965</v>
      </c>
      <c r="E79" s="109">
        <v>342600</v>
      </c>
      <c r="F79" s="109">
        <f t="shared" si="5"/>
        <v>616565</v>
      </c>
      <c r="G79" s="109">
        <v>616565</v>
      </c>
      <c r="H79" s="109">
        <v>-226.48</v>
      </c>
      <c r="I79" s="115">
        <f>+H79+Q79</f>
        <v>517195.05000000005</v>
      </c>
      <c r="J79" s="109">
        <f t="shared" si="16"/>
        <v>627619.05000000005</v>
      </c>
      <c r="K79" s="109">
        <v>110424</v>
      </c>
      <c r="L79" s="109">
        <v>190948.54</v>
      </c>
      <c r="M79" s="115">
        <f t="shared" si="17"/>
        <v>99369.949999999953</v>
      </c>
      <c r="N79" s="115">
        <f t="shared" si="4"/>
        <v>99369.949999999953</v>
      </c>
      <c r="O79" s="116">
        <f t="shared" si="6"/>
        <v>83.883296975987946</v>
      </c>
      <c r="Q79">
        <v>517421.53</v>
      </c>
    </row>
    <row r="80" spans="2:17" x14ac:dyDescent="0.2">
      <c r="B80" s="144">
        <v>170</v>
      </c>
      <c r="C80" s="145" t="s">
        <v>321</v>
      </c>
      <c r="D80" s="146">
        <f>+D81+D82</f>
        <v>337000</v>
      </c>
      <c r="E80" s="146">
        <f>+E81+E82</f>
        <v>-101000</v>
      </c>
      <c r="F80" s="106">
        <f t="shared" si="5"/>
        <v>236000</v>
      </c>
      <c r="G80" s="146">
        <f>+G81+G82</f>
        <v>236000</v>
      </c>
      <c r="H80" s="146">
        <f>SUM(H81:H82)</f>
        <v>8828.48</v>
      </c>
      <c r="I80" s="146">
        <f>SUM(I81:I82)</f>
        <v>113012.82999999997</v>
      </c>
      <c r="J80" s="106">
        <f t="shared" si="16"/>
        <v>169933.70999999996</v>
      </c>
      <c r="K80" s="146">
        <f>SUM(K81:K82)</f>
        <v>56920.88</v>
      </c>
      <c r="L80" s="146">
        <f>SUM(L81:L82)</f>
        <v>55072</v>
      </c>
      <c r="M80" s="110">
        <f t="shared" si="17"/>
        <v>122987.17000000003</v>
      </c>
      <c r="N80" s="110">
        <f t="shared" si="4"/>
        <v>122987.17000000003</v>
      </c>
      <c r="O80" s="111">
        <f t="shared" si="6"/>
        <v>47.886792372881345</v>
      </c>
      <c r="Q80">
        <v>104184.34999999998</v>
      </c>
    </row>
    <row r="81" spans="2:17" ht="13.5" x14ac:dyDescent="0.25">
      <c r="B81" s="112">
        <v>171</v>
      </c>
      <c r="C81" s="147" t="s">
        <v>320</v>
      </c>
      <c r="D81" s="148">
        <v>101000</v>
      </c>
      <c r="E81" s="148">
        <v>-101000</v>
      </c>
      <c r="F81" s="109">
        <f t="shared" si="5"/>
        <v>0</v>
      </c>
      <c r="G81" s="115">
        <v>0</v>
      </c>
      <c r="H81" s="115">
        <v>0</v>
      </c>
      <c r="I81" s="115">
        <f>+H81+Q81</f>
        <v>0</v>
      </c>
      <c r="J81" s="109">
        <f t="shared" si="16"/>
        <v>0</v>
      </c>
      <c r="K81" s="115">
        <v>0</v>
      </c>
      <c r="L81" s="115"/>
      <c r="M81" s="115">
        <f t="shared" si="17"/>
        <v>0</v>
      </c>
      <c r="N81" s="115">
        <f t="shared" si="4"/>
        <v>0</v>
      </c>
      <c r="O81" s="116" t="s">
        <v>2</v>
      </c>
      <c r="Q81">
        <v>0</v>
      </c>
    </row>
    <row r="82" spans="2:17" ht="13.5" x14ac:dyDescent="0.25">
      <c r="B82" s="112" t="s">
        <v>144</v>
      </c>
      <c r="C82" s="113" t="s">
        <v>145</v>
      </c>
      <c r="D82" s="109">
        <v>236000</v>
      </c>
      <c r="E82" s="109">
        <v>0</v>
      </c>
      <c r="F82" s="109">
        <f t="shared" si="5"/>
        <v>236000</v>
      </c>
      <c r="G82" s="109">
        <v>236000</v>
      </c>
      <c r="H82" s="109">
        <v>8828.48</v>
      </c>
      <c r="I82" s="115">
        <f>+H82+Q82</f>
        <v>113012.82999999997</v>
      </c>
      <c r="J82" s="109">
        <f t="shared" si="16"/>
        <v>169933.70999999996</v>
      </c>
      <c r="K82" s="109">
        <f>6000+50920.88</f>
        <v>56920.88</v>
      </c>
      <c r="L82" s="115">
        <v>55072</v>
      </c>
      <c r="M82" s="115">
        <f t="shared" si="17"/>
        <v>122987.17000000003</v>
      </c>
      <c r="N82" s="115">
        <f t="shared" si="4"/>
        <v>122987.17000000003</v>
      </c>
      <c r="O82" s="116">
        <f t="shared" si="6"/>
        <v>47.886792372881345</v>
      </c>
      <c r="Q82">
        <v>104184.34999999998</v>
      </c>
    </row>
    <row r="83" spans="2:17" x14ac:dyDescent="0.2">
      <c r="B83" s="119" t="s">
        <v>146</v>
      </c>
      <c r="C83" s="120" t="s">
        <v>147</v>
      </c>
      <c r="D83" s="106">
        <f>SUM(D84:D89)</f>
        <v>747000</v>
      </c>
      <c r="E83" s="106">
        <f>SUM(E84:E89)</f>
        <v>-267935</v>
      </c>
      <c r="F83" s="106">
        <f t="shared" si="5"/>
        <v>479065</v>
      </c>
      <c r="G83" s="106">
        <f>SUM(G84:G89)</f>
        <v>479065</v>
      </c>
      <c r="H83" s="106">
        <f>SUM(H84:H89)</f>
        <v>3055.1400000000003</v>
      </c>
      <c r="I83" s="106">
        <f>SUM(I84:I89)</f>
        <v>370310.86000000004</v>
      </c>
      <c r="J83" s="106">
        <f t="shared" si="16"/>
        <v>671353.8600000001</v>
      </c>
      <c r="K83" s="106">
        <f>SUM(K84:K89)</f>
        <v>301043</v>
      </c>
      <c r="L83" s="106">
        <f>SUM(L84:L89)</f>
        <v>241677.34999999998</v>
      </c>
      <c r="M83" s="110">
        <f t="shared" si="17"/>
        <v>108754.13999999996</v>
      </c>
      <c r="N83" s="110">
        <f t="shared" si="4"/>
        <v>108754.13999999996</v>
      </c>
      <c r="O83" s="111">
        <f t="shared" si="6"/>
        <v>77.298667195474536</v>
      </c>
      <c r="Q83">
        <v>367255.72000000003</v>
      </c>
    </row>
    <row r="84" spans="2:17" ht="12" customHeight="1" x14ac:dyDescent="0.25">
      <c r="B84" s="121">
        <v>181</v>
      </c>
      <c r="C84" s="114" t="s">
        <v>148</v>
      </c>
      <c r="D84" s="109">
        <v>115760</v>
      </c>
      <c r="E84" s="109">
        <v>-100460</v>
      </c>
      <c r="F84" s="109">
        <f t="shared" si="5"/>
        <v>15300</v>
      </c>
      <c r="G84" s="115">
        <v>15300</v>
      </c>
      <c r="H84" s="115">
        <v>0</v>
      </c>
      <c r="I84" s="115">
        <f>+H84+Q84</f>
        <v>11370</v>
      </c>
      <c r="J84" s="109">
        <f t="shared" si="16"/>
        <v>19020</v>
      </c>
      <c r="K84" s="115">
        <v>7650</v>
      </c>
      <c r="L84" s="115">
        <v>11369.61</v>
      </c>
      <c r="M84" s="115">
        <f t="shared" si="17"/>
        <v>3930</v>
      </c>
      <c r="N84" s="115">
        <f t="shared" si="4"/>
        <v>3930</v>
      </c>
      <c r="O84" s="116">
        <f t="shared" si="6"/>
        <v>74.313725490196077</v>
      </c>
      <c r="Q84">
        <v>11370</v>
      </c>
    </row>
    <row r="85" spans="2:17" ht="15" customHeight="1" x14ac:dyDescent="0.25">
      <c r="B85" s="118" t="s">
        <v>149</v>
      </c>
      <c r="C85" s="114" t="s">
        <v>302</v>
      </c>
      <c r="D85" s="109">
        <v>170943</v>
      </c>
      <c r="E85" s="109">
        <v>152225</v>
      </c>
      <c r="F85" s="109">
        <f t="shared" si="5"/>
        <v>323168</v>
      </c>
      <c r="G85" s="109">
        <v>323168</v>
      </c>
      <c r="H85" s="109">
        <v>2575.5100000000002</v>
      </c>
      <c r="I85" s="115">
        <f>+H85+Q85</f>
        <v>258754.39</v>
      </c>
      <c r="J85" s="109">
        <f t="shared" si="16"/>
        <v>466337.39</v>
      </c>
      <c r="K85" s="109">
        <v>207583</v>
      </c>
      <c r="L85" s="109">
        <v>156495.54999999999</v>
      </c>
      <c r="M85" s="115">
        <f t="shared" si="17"/>
        <v>64413.609999999986</v>
      </c>
      <c r="N85" s="115">
        <f t="shared" si="4"/>
        <v>64413.609999999986</v>
      </c>
      <c r="O85" s="116">
        <f t="shared" si="6"/>
        <v>80.068072952767608</v>
      </c>
      <c r="Q85">
        <v>256178.88</v>
      </c>
    </row>
    <row r="86" spans="2:17" ht="13.5" x14ac:dyDescent="0.25">
      <c r="B86" s="112">
        <v>183</v>
      </c>
      <c r="C86" s="114" t="s">
        <v>303</v>
      </c>
      <c r="D86" s="109">
        <v>57870</v>
      </c>
      <c r="E86" s="109">
        <v>-53900</v>
      </c>
      <c r="F86" s="109">
        <f t="shared" si="5"/>
        <v>3970</v>
      </c>
      <c r="G86" s="115">
        <v>3970</v>
      </c>
      <c r="H86" s="115">
        <v>0</v>
      </c>
      <c r="I86" s="115">
        <f>+H86+Q86</f>
        <v>3155</v>
      </c>
      <c r="J86" s="109">
        <f t="shared" si="16"/>
        <v>3155</v>
      </c>
      <c r="K86" s="115"/>
      <c r="L86" s="115">
        <v>3155.86</v>
      </c>
      <c r="M86" s="115">
        <f t="shared" si="17"/>
        <v>815</v>
      </c>
      <c r="N86" s="115">
        <f t="shared" si="4"/>
        <v>815</v>
      </c>
      <c r="O86" s="116">
        <f t="shared" si="6"/>
        <v>79.471032745591941</v>
      </c>
      <c r="Q86">
        <v>3155</v>
      </c>
    </row>
    <row r="87" spans="2:17" ht="15.75" customHeight="1" x14ac:dyDescent="0.25">
      <c r="B87" s="112">
        <v>184</v>
      </c>
      <c r="C87" s="114" t="s">
        <v>304</v>
      </c>
      <c r="D87" s="109">
        <v>16000</v>
      </c>
      <c r="E87" s="109">
        <v>-16000</v>
      </c>
      <c r="F87" s="109">
        <f t="shared" ref="F87:F150" si="20">+D87+E87</f>
        <v>0</v>
      </c>
      <c r="G87" s="115">
        <v>0</v>
      </c>
      <c r="H87" s="115">
        <v>0</v>
      </c>
      <c r="I87" s="115">
        <f t="shared" ref="I87:I97" si="21">+H87+Q87</f>
        <v>0</v>
      </c>
      <c r="J87" s="109">
        <f t="shared" si="16"/>
        <v>0</v>
      </c>
      <c r="K87" s="115"/>
      <c r="L87" s="115"/>
      <c r="M87" s="115">
        <f t="shared" si="17"/>
        <v>0</v>
      </c>
      <c r="N87" s="115">
        <f t="shared" ref="N87:N157" si="22">+F87-I87</f>
        <v>0</v>
      </c>
      <c r="O87" s="116" t="s">
        <v>2</v>
      </c>
      <c r="Q87">
        <v>0</v>
      </c>
    </row>
    <row r="88" spans="2:17" ht="15" customHeight="1" x14ac:dyDescent="0.25">
      <c r="B88" s="112">
        <v>185</v>
      </c>
      <c r="C88" s="114" t="s">
        <v>313</v>
      </c>
      <c r="D88" s="109">
        <v>107800</v>
      </c>
      <c r="E88" s="109">
        <v>-85800</v>
      </c>
      <c r="F88" s="109">
        <f t="shared" si="20"/>
        <v>22000</v>
      </c>
      <c r="G88" s="115">
        <v>22000</v>
      </c>
      <c r="H88" s="115">
        <v>0</v>
      </c>
      <c r="I88" s="115">
        <f t="shared" si="21"/>
        <v>12219.4</v>
      </c>
      <c r="J88" s="109">
        <f t="shared" si="16"/>
        <v>21678.400000000001</v>
      </c>
      <c r="K88" s="115">
        <v>9459</v>
      </c>
      <c r="L88" s="115">
        <v>8085.2</v>
      </c>
      <c r="M88" s="115">
        <f t="shared" si="17"/>
        <v>9780.6</v>
      </c>
      <c r="N88" s="115">
        <f t="shared" si="22"/>
        <v>9780.6</v>
      </c>
      <c r="O88" s="116">
        <f t="shared" ref="O88:O157" si="23">+I88*100/G88</f>
        <v>55.542727272727269</v>
      </c>
      <c r="Q88">
        <v>12219.4</v>
      </c>
    </row>
    <row r="89" spans="2:17" ht="14.25" customHeight="1" x14ac:dyDescent="0.25">
      <c r="B89" s="112" t="s">
        <v>150</v>
      </c>
      <c r="C89" s="113" t="s">
        <v>151</v>
      </c>
      <c r="D89" s="109">
        <v>278627</v>
      </c>
      <c r="E89" s="109">
        <v>-164000</v>
      </c>
      <c r="F89" s="109">
        <f t="shared" si="20"/>
        <v>114627</v>
      </c>
      <c r="G89" s="115">
        <v>114627</v>
      </c>
      <c r="H89" s="115">
        <v>479.63</v>
      </c>
      <c r="I89" s="115">
        <f t="shared" si="21"/>
        <v>84812.07</v>
      </c>
      <c r="J89" s="109">
        <f t="shared" si="16"/>
        <v>161163.07</v>
      </c>
      <c r="K89" s="115">
        <v>76351</v>
      </c>
      <c r="L89" s="115">
        <v>62571.13</v>
      </c>
      <c r="M89" s="115">
        <f t="shared" si="17"/>
        <v>29814.929999999993</v>
      </c>
      <c r="N89" s="115">
        <f t="shared" si="22"/>
        <v>29814.929999999993</v>
      </c>
      <c r="O89" s="116">
        <f t="shared" si="23"/>
        <v>73.989609777801036</v>
      </c>
      <c r="Q89">
        <v>84332.44</v>
      </c>
    </row>
    <row r="90" spans="2:17" ht="16.5" customHeight="1" x14ac:dyDescent="0.2">
      <c r="B90" s="149">
        <v>190</v>
      </c>
      <c r="C90" s="150" t="s">
        <v>152</v>
      </c>
      <c r="D90" s="151"/>
      <c r="E90" s="151">
        <f>SUM(E91:E97)</f>
        <v>92475</v>
      </c>
      <c r="F90" s="151">
        <f>SUM(F91:F97)</f>
        <v>92475</v>
      </c>
      <c r="G90" s="152">
        <f>SUM(G91:G97)</f>
        <v>92475</v>
      </c>
      <c r="H90" s="153">
        <f>SUM(H91:H97)</f>
        <v>0</v>
      </c>
      <c r="I90" s="154">
        <f>SUM(I91:I97)</f>
        <v>82854.680000000008</v>
      </c>
      <c r="J90" s="106">
        <f t="shared" si="16"/>
        <v>83935.680000000008</v>
      </c>
      <c r="K90" s="153">
        <f>SUM(K91:K97)</f>
        <v>1081</v>
      </c>
      <c r="L90" s="151">
        <f>SUM(L91:L97)</f>
        <v>11340.170000000002</v>
      </c>
      <c r="M90" s="110">
        <f t="shared" si="17"/>
        <v>9620.3199999999924</v>
      </c>
      <c r="N90" s="155">
        <f t="shared" si="22"/>
        <v>9620.3199999999924</v>
      </c>
      <c r="O90" s="156">
        <f t="shared" si="23"/>
        <v>89.596842389835103</v>
      </c>
      <c r="P90" s="4"/>
      <c r="Q90">
        <v>82854.680000000008</v>
      </c>
    </row>
    <row r="91" spans="2:17" ht="15" customHeight="1" x14ac:dyDescent="0.25">
      <c r="B91" s="157">
        <v>191</v>
      </c>
      <c r="C91" s="158" t="s">
        <v>153</v>
      </c>
      <c r="D91" s="151"/>
      <c r="E91" s="159">
        <v>67675</v>
      </c>
      <c r="F91" s="159">
        <f t="shared" si="20"/>
        <v>67675</v>
      </c>
      <c r="G91" s="160">
        <v>67675</v>
      </c>
      <c r="H91" s="161">
        <v>0</v>
      </c>
      <c r="I91" s="162">
        <f t="shared" si="21"/>
        <v>67624.570000000007</v>
      </c>
      <c r="J91" s="109">
        <f t="shared" si="16"/>
        <v>67624.570000000007</v>
      </c>
      <c r="K91" s="161">
        <v>0</v>
      </c>
      <c r="L91" s="163">
        <v>50.85</v>
      </c>
      <c r="M91" s="115">
        <f t="shared" si="17"/>
        <v>50.429999999993015</v>
      </c>
      <c r="N91" s="163">
        <f t="shared" si="22"/>
        <v>50.429999999993015</v>
      </c>
      <c r="O91" s="164"/>
      <c r="Q91">
        <v>67624.570000000007</v>
      </c>
    </row>
    <row r="92" spans="2:17" ht="16.5" customHeight="1" x14ac:dyDescent="0.25">
      <c r="B92" s="157">
        <v>192</v>
      </c>
      <c r="C92" s="158" t="s">
        <v>154</v>
      </c>
      <c r="D92" s="159"/>
      <c r="E92" s="159">
        <v>600</v>
      </c>
      <c r="F92" s="159">
        <f t="shared" si="20"/>
        <v>600</v>
      </c>
      <c r="G92" s="160">
        <v>600</v>
      </c>
      <c r="H92" s="161">
        <v>0</v>
      </c>
      <c r="I92" s="162">
        <f>+Q92+H92</f>
        <v>600</v>
      </c>
      <c r="J92" s="109">
        <f t="shared" si="16"/>
        <v>600</v>
      </c>
      <c r="K92" s="161">
        <v>0</v>
      </c>
      <c r="L92" s="163"/>
      <c r="M92" s="115">
        <f t="shared" si="17"/>
        <v>0</v>
      </c>
      <c r="N92" s="163">
        <f t="shared" si="22"/>
        <v>0</v>
      </c>
      <c r="O92" s="164"/>
      <c r="Q92">
        <v>600</v>
      </c>
    </row>
    <row r="93" spans="2:17" ht="13.5" customHeight="1" x14ac:dyDescent="0.25">
      <c r="B93" s="157">
        <v>195</v>
      </c>
      <c r="C93" s="158" t="s">
        <v>155</v>
      </c>
      <c r="D93" s="159"/>
      <c r="E93" s="159">
        <v>6270</v>
      </c>
      <c r="F93" s="159">
        <f t="shared" si="20"/>
        <v>6270</v>
      </c>
      <c r="G93" s="160">
        <v>6270</v>
      </c>
      <c r="H93" s="161">
        <v>0</v>
      </c>
      <c r="I93" s="162">
        <f t="shared" si="21"/>
        <v>4071</v>
      </c>
      <c r="J93" s="109">
        <f t="shared" si="16"/>
        <v>4091</v>
      </c>
      <c r="K93" s="161">
        <v>20</v>
      </c>
      <c r="L93" s="163">
        <v>4071</v>
      </c>
      <c r="M93" s="115">
        <f t="shared" si="17"/>
        <v>2199</v>
      </c>
      <c r="N93" s="163">
        <f t="shared" si="22"/>
        <v>2199</v>
      </c>
      <c r="O93" s="164">
        <f t="shared" si="23"/>
        <v>64.928229665071768</v>
      </c>
      <c r="Q93">
        <v>4071</v>
      </c>
    </row>
    <row r="94" spans="2:17" ht="12" customHeight="1" x14ac:dyDescent="0.25">
      <c r="B94" s="157">
        <v>196</v>
      </c>
      <c r="C94" s="158" t="s">
        <v>156</v>
      </c>
      <c r="D94" s="159"/>
      <c r="E94" s="159">
        <v>7280</v>
      </c>
      <c r="F94" s="159">
        <f t="shared" si="20"/>
        <v>7280</v>
      </c>
      <c r="G94" s="160">
        <v>7280</v>
      </c>
      <c r="H94" s="161">
        <v>0</v>
      </c>
      <c r="I94" s="162">
        <f t="shared" si="21"/>
        <v>5174.8200000000006</v>
      </c>
      <c r="J94" s="109">
        <f t="shared" si="16"/>
        <v>5192.8200000000006</v>
      </c>
      <c r="K94" s="161">
        <v>18</v>
      </c>
      <c r="L94" s="163">
        <v>5174.62</v>
      </c>
      <c r="M94" s="115">
        <f t="shared" si="17"/>
        <v>2105.1799999999994</v>
      </c>
      <c r="N94" s="163">
        <f t="shared" si="22"/>
        <v>2105.1799999999994</v>
      </c>
      <c r="O94" s="164">
        <f t="shared" si="23"/>
        <v>71.082692307692312</v>
      </c>
      <c r="Q94">
        <v>5174.8200000000006</v>
      </c>
    </row>
    <row r="95" spans="2:17" ht="15" customHeight="1" x14ac:dyDescent="0.25">
      <c r="B95" s="157">
        <v>197</v>
      </c>
      <c r="C95" s="158" t="s">
        <v>157</v>
      </c>
      <c r="D95" s="159"/>
      <c r="E95" s="159">
        <v>5000</v>
      </c>
      <c r="F95" s="159">
        <f t="shared" si="20"/>
        <v>5000</v>
      </c>
      <c r="G95" s="160">
        <v>5000</v>
      </c>
      <c r="H95" s="161">
        <v>0</v>
      </c>
      <c r="I95" s="162">
        <f t="shared" si="21"/>
        <v>0</v>
      </c>
      <c r="J95" s="109">
        <f t="shared" si="16"/>
        <v>0</v>
      </c>
      <c r="K95" s="161">
        <v>0</v>
      </c>
      <c r="L95" s="163"/>
      <c r="M95" s="115">
        <f t="shared" si="17"/>
        <v>5000</v>
      </c>
      <c r="N95" s="163">
        <f t="shared" si="22"/>
        <v>5000</v>
      </c>
      <c r="O95" s="164"/>
      <c r="Q95">
        <v>0</v>
      </c>
    </row>
    <row r="96" spans="2:17" ht="15.75" customHeight="1" x14ac:dyDescent="0.25">
      <c r="B96" s="157">
        <v>198</v>
      </c>
      <c r="C96" s="158" t="s">
        <v>158</v>
      </c>
      <c r="D96" s="159"/>
      <c r="E96" s="159"/>
      <c r="F96" s="159">
        <f t="shared" si="20"/>
        <v>0</v>
      </c>
      <c r="G96" s="159"/>
      <c r="H96" s="165">
        <v>0</v>
      </c>
      <c r="I96" s="162">
        <f t="shared" si="21"/>
        <v>0</v>
      </c>
      <c r="J96" s="109">
        <f t="shared" si="16"/>
        <v>0</v>
      </c>
      <c r="K96" s="165">
        <v>0</v>
      </c>
      <c r="L96" s="163"/>
      <c r="M96" s="115">
        <f t="shared" si="17"/>
        <v>0</v>
      </c>
      <c r="N96" s="163">
        <f t="shared" si="22"/>
        <v>0</v>
      </c>
      <c r="O96" s="164"/>
      <c r="Q96">
        <v>0</v>
      </c>
    </row>
    <row r="97" spans="2:17" ht="13.5" customHeight="1" x14ac:dyDescent="0.25">
      <c r="B97" s="166">
        <v>199</v>
      </c>
      <c r="C97" s="167" t="s">
        <v>159</v>
      </c>
      <c r="D97" s="168"/>
      <c r="E97" s="168">
        <v>5650</v>
      </c>
      <c r="F97" s="168">
        <f t="shared" si="20"/>
        <v>5650</v>
      </c>
      <c r="G97" s="168">
        <v>5650</v>
      </c>
      <c r="H97" s="169">
        <v>0</v>
      </c>
      <c r="I97" s="162">
        <f t="shared" si="21"/>
        <v>5384.29</v>
      </c>
      <c r="J97" s="109">
        <f t="shared" si="16"/>
        <v>6427.29</v>
      </c>
      <c r="K97" s="169">
        <v>1043</v>
      </c>
      <c r="L97" s="170">
        <v>2043.7</v>
      </c>
      <c r="M97" s="115">
        <f t="shared" si="17"/>
        <v>265.71000000000004</v>
      </c>
      <c r="N97" s="170">
        <f t="shared" si="22"/>
        <v>265.71000000000004</v>
      </c>
      <c r="O97" s="171">
        <f t="shared" si="23"/>
        <v>95.29716814159292</v>
      </c>
      <c r="Q97">
        <v>5384.29</v>
      </c>
    </row>
    <row r="98" spans="2:17" ht="0.75" customHeight="1" x14ac:dyDescent="0.25">
      <c r="B98" s="172"/>
      <c r="C98" s="173"/>
      <c r="D98" s="174"/>
      <c r="E98" s="174"/>
      <c r="F98" s="174"/>
      <c r="G98" s="174"/>
      <c r="H98" s="175"/>
      <c r="I98" s="176"/>
      <c r="J98" s="109">
        <f t="shared" si="16"/>
        <v>0</v>
      </c>
      <c r="K98" s="175"/>
      <c r="L98" s="177">
        <v>2043.7</v>
      </c>
      <c r="M98" s="115">
        <f t="shared" si="17"/>
        <v>0</v>
      </c>
      <c r="N98" s="177"/>
      <c r="O98" s="178"/>
    </row>
    <row r="99" spans="2:17" ht="13.5" x14ac:dyDescent="0.25">
      <c r="B99" s="172"/>
      <c r="C99" s="173"/>
      <c r="D99" s="174"/>
      <c r="E99" s="174"/>
      <c r="F99" s="174"/>
      <c r="G99" s="174"/>
      <c r="H99" s="175"/>
      <c r="I99" s="176"/>
      <c r="J99" s="109">
        <f t="shared" si="16"/>
        <v>0</v>
      </c>
      <c r="K99" s="175"/>
      <c r="L99" s="177"/>
      <c r="M99" s="115">
        <f t="shared" si="17"/>
        <v>0</v>
      </c>
      <c r="N99" s="177"/>
      <c r="O99" s="178"/>
    </row>
    <row r="100" spans="2:17" x14ac:dyDescent="0.2">
      <c r="B100" s="149" t="s">
        <v>160</v>
      </c>
      <c r="C100" s="150" t="s">
        <v>161</v>
      </c>
      <c r="D100" s="151">
        <f>+D101+D106+D112+D123+D129+D136+D145+D151+D160+D162</f>
        <v>1792000</v>
      </c>
      <c r="E100" s="151">
        <f>+E101+E106+E112+E123+E129+E136+E145+E151+E160+E162</f>
        <v>1150921</v>
      </c>
      <c r="F100" s="151">
        <f t="shared" si="20"/>
        <v>2942921</v>
      </c>
      <c r="G100" s="152">
        <f>+G101+G106+G112+G123+G129+G136+G145+G151+G160+G162</f>
        <v>2942921</v>
      </c>
      <c r="H100" s="152">
        <f>+H101+H106+H112+H123+H129+H136+H145+H151+H160+H162</f>
        <v>84002.920000000013</v>
      </c>
      <c r="I100" s="179">
        <f>+I101+I106+I112+I123+I129+I136+I145+I151+I160+I162</f>
        <v>2411682.523</v>
      </c>
      <c r="J100" s="106">
        <f t="shared" si="16"/>
        <v>3100989.8229999999</v>
      </c>
      <c r="K100" s="152">
        <f>+K101+K106+K112+K123+K129+K136+K145+K151+K160+K162</f>
        <v>689307.3</v>
      </c>
      <c r="L100" s="152">
        <f>+L101+L106+L112+L123+L129+L136+L145+L151+L160+L162</f>
        <v>1935619.706</v>
      </c>
      <c r="M100" s="110">
        <f t="shared" si="17"/>
        <v>531238.47699999996</v>
      </c>
      <c r="N100" s="155">
        <f t="shared" si="22"/>
        <v>531238.47699999996</v>
      </c>
      <c r="O100" s="156">
        <f t="shared" si="23"/>
        <v>81.948598790113635</v>
      </c>
      <c r="Q100">
        <v>2327688.6029999997</v>
      </c>
    </row>
    <row r="101" spans="2:17" ht="15" customHeight="1" x14ac:dyDescent="0.25">
      <c r="B101" s="149" t="s">
        <v>162</v>
      </c>
      <c r="C101" s="150" t="s">
        <v>163</v>
      </c>
      <c r="D101" s="151">
        <f>SUM(D102:D104)</f>
        <v>231000</v>
      </c>
      <c r="E101" s="151">
        <f>SUM(E102:E105)</f>
        <v>-133316</v>
      </c>
      <c r="F101" s="151">
        <f>+D101+E101</f>
        <v>97684</v>
      </c>
      <c r="G101" s="152">
        <f>+G102+G104+G103</f>
        <v>97684</v>
      </c>
      <c r="H101" s="153">
        <f>SUM(H102:H104)</f>
        <v>4732.5</v>
      </c>
      <c r="I101" s="154">
        <f>+I102+I104</f>
        <v>57026.670000000006</v>
      </c>
      <c r="J101" s="109">
        <f t="shared" si="16"/>
        <v>61151.670000000006</v>
      </c>
      <c r="K101" s="153">
        <f>SUM(K102:K104)</f>
        <v>4125</v>
      </c>
      <c r="L101" s="151">
        <f>SUM(L102:L104)</f>
        <v>52680.91</v>
      </c>
      <c r="M101" s="110">
        <f t="shared" si="17"/>
        <v>40657.329999999994</v>
      </c>
      <c r="N101" s="155">
        <f t="shared" si="22"/>
        <v>40657.329999999994</v>
      </c>
      <c r="O101" s="156">
        <f t="shared" si="23"/>
        <v>58.378721182588762</v>
      </c>
      <c r="Q101">
        <v>52294.170000000006</v>
      </c>
    </row>
    <row r="102" spans="2:17" ht="13.5" x14ac:dyDescent="0.25">
      <c r="B102" s="180" t="s">
        <v>164</v>
      </c>
      <c r="C102" s="181" t="s">
        <v>165</v>
      </c>
      <c r="D102" s="159">
        <v>209978</v>
      </c>
      <c r="E102" s="159">
        <v>-125000</v>
      </c>
      <c r="F102" s="159">
        <f t="shared" si="20"/>
        <v>84978</v>
      </c>
      <c r="G102" s="160">
        <v>84978</v>
      </c>
      <c r="H102" s="182">
        <v>4732.5</v>
      </c>
      <c r="I102" s="162">
        <f t="shared" ref="I102:I104" si="24">+Q102+H102</f>
        <v>52800.270000000004</v>
      </c>
      <c r="J102" s="109">
        <f t="shared" si="16"/>
        <v>56161.270000000004</v>
      </c>
      <c r="K102" s="182">
        <v>3361</v>
      </c>
      <c r="L102" s="159">
        <v>48675.91</v>
      </c>
      <c r="M102" s="115">
        <f t="shared" si="17"/>
        <v>32177.729999999996</v>
      </c>
      <c r="N102" s="163">
        <f t="shared" si="22"/>
        <v>32177.729999999996</v>
      </c>
      <c r="O102" s="164">
        <f t="shared" si="23"/>
        <v>62.134046459083528</v>
      </c>
      <c r="Q102">
        <v>48067.770000000004</v>
      </c>
    </row>
    <row r="103" spans="2:17" ht="13.5" x14ac:dyDescent="0.25">
      <c r="B103" s="183">
        <v>202</v>
      </c>
      <c r="C103" s="184" t="s">
        <v>393</v>
      </c>
      <c r="D103" s="185"/>
      <c r="E103" s="185">
        <v>700</v>
      </c>
      <c r="F103" s="159">
        <f t="shared" si="20"/>
        <v>700</v>
      </c>
      <c r="G103" s="186">
        <v>700</v>
      </c>
      <c r="H103" s="187">
        <v>0</v>
      </c>
      <c r="I103" s="162">
        <f t="shared" si="24"/>
        <v>0</v>
      </c>
      <c r="J103" s="109">
        <f t="shared" si="16"/>
        <v>700</v>
      </c>
      <c r="K103" s="187">
        <v>700</v>
      </c>
      <c r="L103" s="185"/>
      <c r="M103" s="115">
        <f t="shared" si="17"/>
        <v>700</v>
      </c>
      <c r="N103" s="163">
        <f t="shared" ref="N103" si="25">+F103-I103</f>
        <v>700</v>
      </c>
      <c r="O103" s="164">
        <f t="shared" ref="O103" si="26">+I103*100/G103</f>
        <v>0</v>
      </c>
      <c r="Q103">
        <v>0</v>
      </c>
    </row>
    <row r="104" spans="2:17" ht="12" customHeight="1" x14ac:dyDescent="0.25">
      <c r="B104" s="157" t="s">
        <v>166</v>
      </c>
      <c r="C104" s="158" t="s">
        <v>167</v>
      </c>
      <c r="D104" s="159">
        <v>21022</v>
      </c>
      <c r="E104" s="159">
        <v>-9016</v>
      </c>
      <c r="F104" s="159">
        <f t="shared" si="20"/>
        <v>12006</v>
      </c>
      <c r="G104" s="165">
        <v>12006</v>
      </c>
      <c r="H104" s="161">
        <v>0</v>
      </c>
      <c r="I104" s="162">
        <f t="shared" si="24"/>
        <v>4226.3999999999996</v>
      </c>
      <c r="J104" s="109">
        <f t="shared" si="16"/>
        <v>4290.3999999999996</v>
      </c>
      <c r="K104" s="161">
        <v>64</v>
      </c>
      <c r="L104" s="163">
        <v>4005</v>
      </c>
      <c r="M104" s="115">
        <f t="shared" si="17"/>
        <v>7779.6</v>
      </c>
      <c r="N104" s="163">
        <f t="shared" si="22"/>
        <v>7779.6</v>
      </c>
      <c r="O104" s="164">
        <f t="shared" si="23"/>
        <v>35.202398800599696</v>
      </c>
      <c r="Q104">
        <v>4226.3999999999996</v>
      </c>
    </row>
    <row r="105" spans="2:17" ht="13.5" hidden="1" x14ac:dyDescent="0.25">
      <c r="B105" s="157" t="s">
        <v>168</v>
      </c>
      <c r="C105" s="158" t="s">
        <v>169</v>
      </c>
      <c r="D105" s="159"/>
      <c r="E105" s="159">
        <v>0</v>
      </c>
      <c r="F105" s="159">
        <f t="shared" si="20"/>
        <v>0</v>
      </c>
      <c r="G105" s="165">
        <v>0</v>
      </c>
      <c r="H105" s="161"/>
      <c r="I105" s="162">
        <f>+Q105+H105</f>
        <v>0</v>
      </c>
      <c r="J105" s="109">
        <f t="shared" si="16"/>
        <v>0</v>
      </c>
      <c r="K105" s="161"/>
      <c r="L105" s="163"/>
      <c r="M105" s="115">
        <f t="shared" si="17"/>
        <v>0</v>
      </c>
      <c r="N105" s="163">
        <f t="shared" si="22"/>
        <v>0</v>
      </c>
      <c r="O105" s="188">
        <v>0</v>
      </c>
      <c r="Q105">
        <v>0</v>
      </c>
    </row>
    <row r="106" spans="2:17" x14ac:dyDescent="0.2">
      <c r="B106" s="189" t="s">
        <v>170</v>
      </c>
      <c r="C106" s="190" t="s">
        <v>171</v>
      </c>
      <c r="D106" s="151">
        <f>SUM(D107:D111)</f>
        <v>48000</v>
      </c>
      <c r="E106" s="151">
        <f>SUM(E107:E111)</f>
        <v>158696</v>
      </c>
      <c r="F106" s="151">
        <f t="shared" si="20"/>
        <v>206696</v>
      </c>
      <c r="G106" s="153">
        <f>SUM(G107:G111)</f>
        <v>206696</v>
      </c>
      <c r="H106" s="153">
        <f>SUM(H107:H111)</f>
        <v>2292.56</v>
      </c>
      <c r="I106" s="179">
        <f>SUM(I107:I111)</f>
        <v>130002.15999999999</v>
      </c>
      <c r="J106" s="106">
        <f t="shared" si="16"/>
        <v>215030.15999999997</v>
      </c>
      <c r="K106" s="153">
        <f>SUM(K107:K111)</f>
        <v>85028</v>
      </c>
      <c r="L106" s="151">
        <f>SUM(L107:L111)</f>
        <v>111138.59999999999</v>
      </c>
      <c r="M106" s="110">
        <f t="shared" si="17"/>
        <v>76693.840000000011</v>
      </c>
      <c r="N106" s="155">
        <f t="shared" si="22"/>
        <v>76693.840000000011</v>
      </c>
      <c r="O106" s="156">
        <f t="shared" si="23"/>
        <v>62.895343886674141</v>
      </c>
      <c r="Q106">
        <v>127709.30999999998</v>
      </c>
    </row>
    <row r="107" spans="2:17" ht="13.5" x14ac:dyDescent="0.25">
      <c r="B107" s="180" t="s">
        <v>172</v>
      </c>
      <c r="C107" s="181" t="s">
        <v>173</v>
      </c>
      <c r="D107" s="159">
        <v>15480</v>
      </c>
      <c r="E107" s="159">
        <v>33576</v>
      </c>
      <c r="F107" s="159">
        <f t="shared" si="20"/>
        <v>49056</v>
      </c>
      <c r="G107" s="165">
        <v>49056</v>
      </c>
      <c r="H107" s="161">
        <v>1284.19</v>
      </c>
      <c r="I107" s="162">
        <f t="shared" ref="I107:I117" si="27">+Q107+H107</f>
        <v>36920.639999999999</v>
      </c>
      <c r="J107" s="109">
        <f t="shared" si="16"/>
        <v>47669.64</v>
      </c>
      <c r="K107" s="161">
        <v>10749</v>
      </c>
      <c r="L107" s="163">
        <v>31810.23</v>
      </c>
      <c r="M107" s="115">
        <f t="shared" si="17"/>
        <v>12135.36</v>
      </c>
      <c r="N107" s="163">
        <f t="shared" si="22"/>
        <v>12135.36</v>
      </c>
      <c r="O107" s="164">
        <f t="shared" si="23"/>
        <v>75.262230919765173</v>
      </c>
      <c r="Q107">
        <v>35636.449999999997</v>
      </c>
    </row>
    <row r="108" spans="2:17" ht="13.5" x14ac:dyDescent="0.25">
      <c r="B108" s="157" t="s">
        <v>174</v>
      </c>
      <c r="C108" s="158" t="s">
        <v>175</v>
      </c>
      <c r="D108" s="159">
        <v>3935</v>
      </c>
      <c r="E108" s="159">
        <v>21700</v>
      </c>
      <c r="F108" s="159">
        <f t="shared" si="20"/>
        <v>25635</v>
      </c>
      <c r="G108" s="165">
        <v>25635</v>
      </c>
      <c r="H108" s="161">
        <v>0</v>
      </c>
      <c r="I108" s="162">
        <f t="shared" si="27"/>
        <v>16442.71</v>
      </c>
      <c r="J108" s="109">
        <f t="shared" si="16"/>
        <v>24620.71</v>
      </c>
      <c r="K108" s="161">
        <v>8178</v>
      </c>
      <c r="L108" s="163">
        <v>13563.02</v>
      </c>
      <c r="M108" s="115">
        <f t="shared" si="17"/>
        <v>9192.2900000000009</v>
      </c>
      <c r="N108" s="163">
        <f t="shared" si="22"/>
        <v>9192.2900000000009</v>
      </c>
      <c r="O108" s="164">
        <f t="shared" si="23"/>
        <v>64.141642285937195</v>
      </c>
      <c r="Q108">
        <v>16442.71</v>
      </c>
    </row>
    <row r="109" spans="2:17" ht="13.5" x14ac:dyDescent="0.25">
      <c r="B109" s="157" t="s">
        <v>176</v>
      </c>
      <c r="C109" s="158" t="s">
        <v>177</v>
      </c>
      <c r="D109" s="159">
        <v>17910</v>
      </c>
      <c r="E109" s="159">
        <v>-6330</v>
      </c>
      <c r="F109" s="159">
        <f t="shared" si="20"/>
        <v>11580</v>
      </c>
      <c r="G109" s="165">
        <v>11580</v>
      </c>
      <c r="H109" s="161">
        <v>0</v>
      </c>
      <c r="I109" s="162">
        <f t="shared" si="27"/>
        <v>5132.45</v>
      </c>
      <c r="J109" s="109">
        <f t="shared" si="16"/>
        <v>5196.45</v>
      </c>
      <c r="K109" s="161">
        <v>64</v>
      </c>
      <c r="L109" s="163">
        <v>5077.96</v>
      </c>
      <c r="M109" s="115">
        <f t="shared" si="17"/>
        <v>6447.55</v>
      </c>
      <c r="N109" s="163">
        <f t="shared" si="22"/>
        <v>6447.55</v>
      </c>
      <c r="O109" s="164">
        <f t="shared" si="23"/>
        <v>44.321675302245254</v>
      </c>
      <c r="Q109">
        <v>5132.45</v>
      </c>
    </row>
    <row r="110" spans="2:17" ht="13.5" x14ac:dyDescent="0.25">
      <c r="B110" s="157" t="s">
        <v>178</v>
      </c>
      <c r="C110" s="158" t="s">
        <v>179</v>
      </c>
      <c r="D110" s="159">
        <v>7555</v>
      </c>
      <c r="E110" s="159">
        <v>108900</v>
      </c>
      <c r="F110" s="159">
        <f t="shared" si="20"/>
        <v>116455</v>
      </c>
      <c r="G110" s="165">
        <v>116455</v>
      </c>
      <c r="H110" s="161">
        <v>1008.37</v>
      </c>
      <c r="I110" s="162">
        <f t="shared" si="27"/>
        <v>70275.37999999999</v>
      </c>
      <c r="J110" s="109">
        <f t="shared" si="16"/>
        <v>136280.38</v>
      </c>
      <c r="K110" s="161">
        <v>66005</v>
      </c>
      <c r="L110" s="163">
        <v>60392.66</v>
      </c>
      <c r="M110" s="115">
        <f t="shared" si="17"/>
        <v>46179.62000000001</v>
      </c>
      <c r="N110" s="163">
        <f t="shared" si="22"/>
        <v>46179.62000000001</v>
      </c>
      <c r="O110" s="164">
        <f t="shared" si="23"/>
        <v>60.345524022154471</v>
      </c>
      <c r="Q110">
        <v>69267.009999999995</v>
      </c>
    </row>
    <row r="111" spans="2:17" ht="13.5" x14ac:dyDescent="0.25">
      <c r="B111" s="157" t="s">
        <v>180</v>
      </c>
      <c r="C111" s="158" t="s">
        <v>181</v>
      </c>
      <c r="D111" s="159">
        <v>3120</v>
      </c>
      <c r="E111" s="159">
        <v>850</v>
      </c>
      <c r="F111" s="159">
        <f t="shared" si="20"/>
        <v>3970</v>
      </c>
      <c r="G111" s="165">
        <v>3970</v>
      </c>
      <c r="H111" s="161">
        <v>0</v>
      </c>
      <c r="I111" s="162">
        <f t="shared" si="27"/>
        <v>1230.98</v>
      </c>
      <c r="J111" s="109">
        <f t="shared" si="16"/>
        <v>1262.98</v>
      </c>
      <c r="K111" s="161">
        <v>32</v>
      </c>
      <c r="L111" s="163">
        <v>294.73</v>
      </c>
      <c r="M111" s="115">
        <f t="shared" si="17"/>
        <v>2739.02</v>
      </c>
      <c r="N111" s="163">
        <f t="shared" si="22"/>
        <v>2739.02</v>
      </c>
      <c r="O111" s="164">
        <f t="shared" si="23"/>
        <v>31.00705289672544</v>
      </c>
      <c r="Q111">
        <v>1230.98</v>
      </c>
    </row>
    <row r="112" spans="2:17" x14ac:dyDescent="0.2">
      <c r="B112" s="189" t="s">
        <v>182</v>
      </c>
      <c r="C112" s="190" t="s">
        <v>183</v>
      </c>
      <c r="D112" s="151">
        <f>SUM(D113:D117)</f>
        <v>106000</v>
      </c>
      <c r="E112" s="151">
        <f>SUM(E113:E117)</f>
        <v>228450</v>
      </c>
      <c r="F112" s="151">
        <f t="shared" si="20"/>
        <v>334450</v>
      </c>
      <c r="G112" s="153">
        <f>SUM(G113:G117)</f>
        <v>334450</v>
      </c>
      <c r="H112" s="153">
        <f>SUM(H113:H117)</f>
        <v>27298.899999999998</v>
      </c>
      <c r="I112" s="191">
        <f>SUM(I113:I117)</f>
        <v>249133.05299999999</v>
      </c>
      <c r="J112" s="106">
        <f t="shared" si="16"/>
        <v>457370.05299999996</v>
      </c>
      <c r="K112" s="153">
        <f>SUM(K113:K117)</f>
        <v>208237</v>
      </c>
      <c r="L112" s="151">
        <f>SUM(L113:L117)</f>
        <v>179227.8</v>
      </c>
      <c r="M112" s="110">
        <f t="shared" si="17"/>
        <v>85316.947000000015</v>
      </c>
      <c r="N112" s="155">
        <f t="shared" si="22"/>
        <v>85316.947000000015</v>
      </c>
      <c r="O112" s="156">
        <f t="shared" si="23"/>
        <v>74.490373149947672</v>
      </c>
      <c r="Q112">
        <v>221835.193</v>
      </c>
    </row>
    <row r="113" spans="2:17" ht="13.5" x14ac:dyDescent="0.25">
      <c r="B113" s="180" t="s">
        <v>184</v>
      </c>
      <c r="C113" s="181" t="s">
        <v>185</v>
      </c>
      <c r="D113" s="159">
        <v>29035</v>
      </c>
      <c r="E113" s="159">
        <v>114400</v>
      </c>
      <c r="F113" s="159">
        <f t="shared" si="20"/>
        <v>143435</v>
      </c>
      <c r="G113" s="165">
        <v>143435</v>
      </c>
      <c r="H113" s="161">
        <v>21225.11</v>
      </c>
      <c r="I113" s="162">
        <f t="shared" si="27"/>
        <v>103875.3</v>
      </c>
      <c r="J113" s="109">
        <f t="shared" si="16"/>
        <v>206958.3</v>
      </c>
      <c r="K113" s="161">
        <v>103083</v>
      </c>
      <c r="L113" s="163">
        <v>103875.3</v>
      </c>
      <c r="M113" s="115">
        <f t="shared" si="17"/>
        <v>39559.699999999997</v>
      </c>
      <c r="N113" s="163">
        <f t="shared" si="22"/>
        <v>39559.699999999997</v>
      </c>
      <c r="O113" s="164">
        <f t="shared" si="23"/>
        <v>72.419772022170321</v>
      </c>
      <c r="Q113">
        <v>82650.19</v>
      </c>
    </row>
    <row r="114" spans="2:17" ht="13.5" x14ac:dyDescent="0.25">
      <c r="B114" s="183">
        <v>222</v>
      </c>
      <c r="C114" s="181" t="s">
        <v>295</v>
      </c>
      <c r="D114" s="159">
        <v>11711</v>
      </c>
      <c r="E114" s="159">
        <v>133400</v>
      </c>
      <c r="F114" s="159">
        <f t="shared" si="20"/>
        <v>145111</v>
      </c>
      <c r="G114" s="160">
        <v>145111</v>
      </c>
      <c r="H114" s="182">
        <v>847.44</v>
      </c>
      <c r="I114" s="162">
        <f t="shared" si="27"/>
        <v>115974.44</v>
      </c>
      <c r="J114" s="109">
        <f t="shared" si="16"/>
        <v>201835.44</v>
      </c>
      <c r="K114" s="182">
        <f>55861+30000</f>
        <v>85861</v>
      </c>
      <c r="L114" s="163">
        <v>47826.76</v>
      </c>
      <c r="M114" s="115">
        <f t="shared" si="17"/>
        <v>29136.559999999998</v>
      </c>
      <c r="N114" s="163">
        <f t="shared" si="22"/>
        <v>29136.559999999998</v>
      </c>
      <c r="O114" s="164">
        <f t="shared" si="23"/>
        <v>79.9211913638525</v>
      </c>
      <c r="Q114">
        <v>115127</v>
      </c>
    </row>
    <row r="115" spans="2:17" ht="16.5" customHeight="1" x14ac:dyDescent="0.25">
      <c r="B115" s="157" t="s">
        <v>186</v>
      </c>
      <c r="C115" s="158" t="s">
        <v>187</v>
      </c>
      <c r="D115" s="159">
        <v>27939</v>
      </c>
      <c r="E115" s="159">
        <v>-1000</v>
      </c>
      <c r="F115" s="159">
        <f t="shared" si="20"/>
        <v>26939</v>
      </c>
      <c r="G115" s="165">
        <v>26939</v>
      </c>
      <c r="H115" s="161">
        <v>4526.57</v>
      </c>
      <c r="I115" s="162">
        <f t="shared" si="27"/>
        <v>20765.57</v>
      </c>
      <c r="J115" s="109">
        <f t="shared" si="16"/>
        <v>39346.57</v>
      </c>
      <c r="K115" s="161">
        <v>18581</v>
      </c>
      <c r="L115" s="163">
        <v>20765.87</v>
      </c>
      <c r="M115" s="115">
        <f t="shared" si="17"/>
        <v>6173.43</v>
      </c>
      <c r="N115" s="163">
        <f t="shared" si="22"/>
        <v>6173.43</v>
      </c>
      <c r="O115" s="164">
        <f t="shared" si="23"/>
        <v>77.083670514866924</v>
      </c>
      <c r="Q115">
        <v>16239</v>
      </c>
    </row>
    <row r="116" spans="2:17" ht="13.5" x14ac:dyDescent="0.25">
      <c r="B116" s="157" t="s">
        <v>188</v>
      </c>
      <c r="C116" s="158" t="s">
        <v>189</v>
      </c>
      <c r="D116" s="159">
        <v>28693</v>
      </c>
      <c r="E116" s="159">
        <v>-11200</v>
      </c>
      <c r="F116" s="159">
        <f t="shared" si="20"/>
        <v>17493</v>
      </c>
      <c r="G116" s="165">
        <v>17493</v>
      </c>
      <c r="H116" s="161">
        <v>699.78</v>
      </c>
      <c r="I116" s="162">
        <f t="shared" si="27"/>
        <v>8502.773000000001</v>
      </c>
      <c r="J116" s="109">
        <f t="shared" si="16"/>
        <v>9214.773000000001</v>
      </c>
      <c r="K116" s="161">
        <v>712</v>
      </c>
      <c r="L116" s="163">
        <v>6744.9</v>
      </c>
      <c r="M116" s="115">
        <f t="shared" si="17"/>
        <v>8990.226999999999</v>
      </c>
      <c r="N116" s="163">
        <f t="shared" si="22"/>
        <v>8990.226999999999</v>
      </c>
      <c r="O116" s="164">
        <f t="shared" si="23"/>
        <v>48.606716972503293</v>
      </c>
      <c r="Q116">
        <v>7802.9930000000004</v>
      </c>
    </row>
    <row r="117" spans="2:17" ht="13.5" x14ac:dyDescent="0.25">
      <c r="B117" s="157">
        <v>229</v>
      </c>
      <c r="C117" s="158" t="s">
        <v>190</v>
      </c>
      <c r="D117" s="159">
        <v>8622</v>
      </c>
      <c r="E117" s="159">
        <v>-7150</v>
      </c>
      <c r="F117" s="159">
        <f t="shared" si="20"/>
        <v>1472</v>
      </c>
      <c r="G117" s="165">
        <v>1472</v>
      </c>
      <c r="H117" s="161">
        <v>0</v>
      </c>
      <c r="I117" s="162">
        <f t="shared" si="27"/>
        <v>14.97</v>
      </c>
      <c r="J117" s="109">
        <f t="shared" si="16"/>
        <v>14.97</v>
      </c>
      <c r="K117" s="161">
        <v>0</v>
      </c>
      <c r="L117" s="163">
        <v>14.97</v>
      </c>
      <c r="M117" s="115">
        <f t="shared" si="17"/>
        <v>1457.03</v>
      </c>
      <c r="N117" s="163">
        <f t="shared" si="22"/>
        <v>1457.03</v>
      </c>
      <c r="O117" s="164">
        <f t="shared" si="23"/>
        <v>1.0169836956521738</v>
      </c>
      <c r="Q117">
        <v>14.97</v>
      </c>
    </row>
    <row r="118" spans="2:17" hidden="1" x14ac:dyDescent="0.2">
      <c r="B118" s="88" t="s">
        <v>402</v>
      </c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</row>
    <row r="119" spans="2:17" hidden="1" x14ac:dyDescent="0.2">
      <c r="B119" s="88" t="s">
        <v>403</v>
      </c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</row>
    <row r="120" spans="2:17" hidden="1" x14ac:dyDescent="0.2">
      <c r="B120" s="90" t="s">
        <v>42</v>
      </c>
      <c r="C120" s="91"/>
      <c r="D120" s="92" t="s">
        <v>17</v>
      </c>
      <c r="E120" s="92"/>
      <c r="F120" s="92"/>
      <c r="G120" s="92"/>
      <c r="H120" s="93" t="s">
        <v>43</v>
      </c>
      <c r="I120" s="93"/>
      <c r="J120" s="94" t="s">
        <v>398</v>
      </c>
      <c r="K120" s="94"/>
      <c r="L120" s="93" t="s">
        <v>44</v>
      </c>
      <c r="M120" s="93" t="s">
        <v>14</v>
      </c>
      <c r="N120" s="93"/>
      <c r="O120" s="192" t="s">
        <v>45</v>
      </c>
    </row>
    <row r="121" spans="2:17" hidden="1" x14ac:dyDescent="0.2">
      <c r="B121" s="90"/>
      <c r="C121" s="91"/>
      <c r="D121" s="92"/>
      <c r="E121" s="92"/>
      <c r="F121" s="92"/>
      <c r="G121" s="92"/>
      <c r="H121" s="93"/>
      <c r="I121" s="93"/>
      <c r="J121" s="96"/>
      <c r="K121" s="96"/>
      <c r="L121" s="93"/>
      <c r="M121" s="93"/>
      <c r="N121" s="93"/>
      <c r="O121" s="192"/>
    </row>
    <row r="122" spans="2:17" hidden="1" x14ac:dyDescent="0.2">
      <c r="B122" s="90"/>
      <c r="C122" s="91"/>
      <c r="D122" s="97" t="s">
        <v>46</v>
      </c>
      <c r="E122" s="97" t="s">
        <v>47</v>
      </c>
      <c r="F122" s="97" t="s">
        <v>48</v>
      </c>
      <c r="G122" s="97" t="s">
        <v>1</v>
      </c>
      <c r="H122" s="98" t="s">
        <v>18</v>
      </c>
      <c r="I122" s="99" t="s">
        <v>49</v>
      </c>
      <c r="J122" s="100"/>
      <c r="K122" s="101" t="s">
        <v>396</v>
      </c>
      <c r="L122" s="93"/>
      <c r="M122" s="102" t="s">
        <v>50</v>
      </c>
      <c r="N122" s="103" t="s">
        <v>16</v>
      </c>
      <c r="O122" s="192"/>
    </row>
    <row r="123" spans="2:17" x14ac:dyDescent="0.2">
      <c r="B123" s="189" t="s">
        <v>191</v>
      </c>
      <c r="C123" s="190" t="s">
        <v>192</v>
      </c>
      <c r="D123" s="151">
        <f>SUM(D124:D127)</f>
        <v>118000</v>
      </c>
      <c r="E123" s="151">
        <f>SUM(E124:E127)</f>
        <v>32935</v>
      </c>
      <c r="F123" s="151">
        <f t="shared" si="20"/>
        <v>150935</v>
      </c>
      <c r="G123" s="153">
        <f>SUM(G124:G127)</f>
        <v>150935</v>
      </c>
      <c r="H123" s="153">
        <f>SUM(H124:H127)</f>
        <v>6100.61</v>
      </c>
      <c r="I123" s="191">
        <f>SUM(I124:I127)</f>
        <v>124875.85999999999</v>
      </c>
      <c r="J123" s="106">
        <f t="shared" ref="J123:J186" si="28">+I123+K123</f>
        <v>135203.07999999999</v>
      </c>
      <c r="K123" s="153">
        <f>SUM(K124:K127)</f>
        <v>10327.220000000001</v>
      </c>
      <c r="L123" s="151">
        <f>SUM(L124:L127)</f>
        <v>108774.67</v>
      </c>
      <c r="M123" s="110">
        <f t="shared" ref="M123:M186" si="29">+G123-I123</f>
        <v>26059.140000000014</v>
      </c>
      <c r="N123" s="155">
        <f t="shared" si="22"/>
        <v>26059.140000000014</v>
      </c>
      <c r="O123" s="156">
        <f t="shared" si="23"/>
        <v>82.734859376552805</v>
      </c>
      <c r="Q123">
        <v>118775.25</v>
      </c>
    </row>
    <row r="124" spans="2:17" ht="13.5" x14ac:dyDescent="0.25">
      <c r="B124" s="180" t="s">
        <v>193</v>
      </c>
      <c r="C124" s="181" t="s">
        <v>194</v>
      </c>
      <c r="D124" s="159">
        <v>55979</v>
      </c>
      <c r="E124" s="159">
        <v>-21950</v>
      </c>
      <c r="F124" s="159">
        <f t="shared" si="20"/>
        <v>34029</v>
      </c>
      <c r="G124" s="165">
        <v>34029</v>
      </c>
      <c r="H124" s="161">
        <v>2937.15</v>
      </c>
      <c r="I124" s="162">
        <f t="shared" ref="I124:I127" si="30">+Q124+H124</f>
        <v>21573.500000000004</v>
      </c>
      <c r="J124" s="109">
        <f t="shared" si="28"/>
        <v>27005.300000000003</v>
      </c>
      <c r="K124" s="161">
        <v>5431.8</v>
      </c>
      <c r="L124" s="163">
        <v>17929.580000000002</v>
      </c>
      <c r="M124" s="115">
        <f t="shared" si="29"/>
        <v>12455.499999999996</v>
      </c>
      <c r="N124" s="163">
        <f t="shared" si="22"/>
        <v>12455.499999999996</v>
      </c>
      <c r="O124" s="164">
        <f t="shared" si="23"/>
        <v>63.397396338417245</v>
      </c>
      <c r="Q124">
        <v>18636.350000000002</v>
      </c>
    </row>
    <row r="125" spans="2:17" ht="15" customHeight="1" x14ac:dyDescent="0.25">
      <c r="B125" s="157" t="s">
        <v>195</v>
      </c>
      <c r="C125" s="158" t="s">
        <v>196</v>
      </c>
      <c r="D125" s="159">
        <v>28168</v>
      </c>
      <c r="E125" s="159">
        <v>58023</v>
      </c>
      <c r="F125" s="159">
        <f t="shared" si="20"/>
        <v>86191</v>
      </c>
      <c r="G125" s="165">
        <v>86191</v>
      </c>
      <c r="H125" s="161">
        <v>3156.5</v>
      </c>
      <c r="I125" s="162">
        <f t="shared" si="30"/>
        <v>81672.009999999995</v>
      </c>
      <c r="J125" s="109">
        <f t="shared" si="28"/>
        <v>83066.429999999993</v>
      </c>
      <c r="K125" s="161">
        <v>1394.42</v>
      </c>
      <c r="L125" s="163">
        <v>74116.58</v>
      </c>
      <c r="M125" s="115">
        <f t="shared" si="29"/>
        <v>4518.9900000000052</v>
      </c>
      <c r="N125" s="163">
        <f t="shared" si="22"/>
        <v>4518.9900000000052</v>
      </c>
      <c r="O125" s="164">
        <f t="shared" si="23"/>
        <v>94.75700479168357</v>
      </c>
      <c r="Q125">
        <v>78515.509999999995</v>
      </c>
    </row>
    <row r="126" spans="2:17" ht="13.5" hidden="1" x14ac:dyDescent="0.25">
      <c r="B126" s="157">
        <v>233</v>
      </c>
      <c r="C126" s="158" t="s">
        <v>318</v>
      </c>
      <c r="D126" s="159"/>
      <c r="E126" s="159"/>
      <c r="F126" s="159">
        <f t="shared" si="20"/>
        <v>0</v>
      </c>
      <c r="G126" s="165">
        <v>0</v>
      </c>
      <c r="H126" s="161"/>
      <c r="I126" s="162">
        <f t="shared" si="30"/>
        <v>0</v>
      </c>
      <c r="J126" s="109">
        <f t="shared" si="28"/>
        <v>0</v>
      </c>
      <c r="K126" s="161"/>
      <c r="L126" s="163"/>
      <c r="M126" s="115">
        <f t="shared" si="29"/>
        <v>0</v>
      </c>
      <c r="N126" s="163">
        <f t="shared" si="22"/>
        <v>0</v>
      </c>
      <c r="O126" s="164" t="s">
        <v>2</v>
      </c>
      <c r="Q126">
        <v>0</v>
      </c>
    </row>
    <row r="127" spans="2:17" ht="13.5" x14ac:dyDescent="0.25">
      <c r="B127" s="157" t="s">
        <v>197</v>
      </c>
      <c r="C127" s="158" t="s">
        <v>198</v>
      </c>
      <c r="D127" s="159">
        <v>33853</v>
      </c>
      <c r="E127" s="159">
        <v>-3138</v>
      </c>
      <c r="F127" s="159">
        <f t="shared" si="20"/>
        <v>30715</v>
      </c>
      <c r="G127" s="165">
        <v>30715</v>
      </c>
      <c r="H127" s="161">
        <v>6.96</v>
      </c>
      <c r="I127" s="162">
        <f t="shared" si="30"/>
        <v>21630.35</v>
      </c>
      <c r="J127" s="109">
        <f t="shared" si="28"/>
        <v>25131.35</v>
      </c>
      <c r="K127" s="161">
        <v>3501</v>
      </c>
      <c r="L127" s="163">
        <v>16728.509999999998</v>
      </c>
      <c r="M127" s="115">
        <f t="shared" si="29"/>
        <v>9084.6500000000015</v>
      </c>
      <c r="N127" s="163">
        <f t="shared" si="22"/>
        <v>9084.6500000000015</v>
      </c>
      <c r="O127" s="164">
        <f t="shared" si="23"/>
        <v>70.42275761028813</v>
      </c>
      <c r="Q127">
        <v>21623.39</v>
      </c>
    </row>
    <row r="128" spans="2:17" ht="13.5" hidden="1" x14ac:dyDescent="0.25">
      <c r="B128" s="157"/>
      <c r="C128" s="193"/>
      <c r="D128" s="194"/>
      <c r="E128" s="194"/>
      <c r="F128" s="159"/>
      <c r="G128" s="165"/>
      <c r="H128" s="161"/>
      <c r="I128" s="162">
        <f>+Q128+H128</f>
        <v>0</v>
      </c>
      <c r="J128" s="109">
        <f t="shared" si="28"/>
        <v>0</v>
      </c>
      <c r="K128" s="161"/>
      <c r="L128" s="163"/>
      <c r="M128" s="115">
        <f t="shared" si="29"/>
        <v>0</v>
      </c>
      <c r="N128" s="163">
        <f t="shared" si="22"/>
        <v>0</v>
      </c>
      <c r="O128" s="164" t="s">
        <v>2</v>
      </c>
      <c r="Q128">
        <v>0</v>
      </c>
    </row>
    <row r="129" spans="2:17" x14ac:dyDescent="0.2">
      <c r="B129" s="189" t="s">
        <v>199</v>
      </c>
      <c r="C129" s="190" t="s">
        <v>200</v>
      </c>
      <c r="D129" s="151">
        <f>SUM(D130:D135)</f>
        <v>150000</v>
      </c>
      <c r="E129" s="151">
        <f>SUM(E130:E135)</f>
        <v>104586</v>
      </c>
      <c r="F129" s="151">
        <f t="shared" si="20"/>
        <v>254586</v>
      </c>
      <c r="G129" s="153">
        <f>SUM(G130:G135)</f>
        <v>254586</v>
      </c>
      <c r="H129" s="153">
        <f>SUM(H130:H135)</f>
        <v>10436.81</v>
      </c>
      <c r="I129" s="191">
        <f>SUM(I130:I135)</f>
        <v>205390.58</v>
      </c>
      <c r="J129" s="106">
        <f t="shared" si="28"/>
        <v>235451.58</v>
      </c>
      <c r="K129" s="153">
        <f>SUM(K130:K135)</f>
        <v>30061</v>
      </c>
      <c r="L129" s="151">
        <f>SUM(L130:L135)</f>
        <v>147123.49600000001</v>
      </c>
      <c r="M129" s="110">
        <f t="shared" si="29"/>
        <v>49195.420000000013</v>
      </c>
      <c r="N129" s="155">
        <f t="shared" si="22"/>
        <v>49195.420000000013</v>
      </c>
      <c r="O129" s="156">
        <f t="shared" si="23"/>
        <v>80.676305845568891</v>
      </c>
      <c r="Q129">
        <v>194953.77000000002</v>
      </c>
    </row>
    <row r="130" spans="2:17" ht="13.5" x14ac:dyDescent="0.25">
      <c r="B130" s="157" t="s">
        <v>201</v>
      </c>
      <c r="C130" s="181" t="s">
        <v>202</v>
      </c>
      <c r="D130" s="159">
        <v>1640</v>
      </c>
      <c r="E130" s="159">
        <v>3000</v>
      </c>
      <c r="F130" s="159">
        <f t="shared" si="20"/>
        <v>4640</v>
      </c>
      <c r="G130" s="165">
        <v>4640</v>
      </c>
      <c r="H130" s="161">
        <v>0</v>
      </c>
      <c r="I130" s="162">
        <f t="shared" ref="I130:I135" si="31">+Q130+H130</f>
        <v>1046.5</v>
      </c>
      <c r="J130" s="109">
        <f t="shared" si="28"/>
        <v>1812.5</v>
      </c>
      <c r="K130" s="161">
        <v>766</v>
      </c>
      <c r="L130" s="163">
        <v>103.48</v>
      </c>
      <c r="M130" s="115">
        <f t="shared" si="29"/>
        <v>3593.5</v>
      </c>
      <c r="N130" s="163">
        <f t="shared" si="22"/>
        <v>3593.5</v>
      </c>
      <c r="O130" s="164">
        <f t="shared" si="23"/>
        <v>22.553879310344829</v>
      </c>
      <c r="Q130">
        <v>1046.5</v>
      </c>
    </row>
    <row r="131" spans="2:17" ht="13.5" x14ac:dyDescent="0.25">
      <c r="B131" s="157" t="s">
        <v>203</v>
      </c>
      <c r="C131" s="158" t="s">
        <v>204</v>
      </c>
      <c r="D131" s="159">
        <v>6630</v>
      </c>
      <c r="E131" s="159">
        <v>42200</v>
      </c>
      <c r="F131" s="159">
        <f t="shared" si="20"/>
        <v>48830</v>
      </c>
      <c r="G131" s="165">
        <v>48830</v>
      </c>
      <c r="H131" s="161">
        <v>4306.41</v>
      </c>
      <c r="I131" s="162">
        <f t="shared" si="31"/>
        <v>39159.69</v>
      </c>
      <c r="J131" s="109">
        <f t="shared" si="28"/>
        <v>39770.69</v>
      </c>
      <c r="K131" s="161">
        <v>611</v>
      </c>
      <c r="L131" s="163">
        <v>29706.06</v>
      </c>
      <c r="M131" s="115">
        <f t="shared" si="29"/>
        <v>9670.3099999999977</v>
      </c>
      <c r="N131" s="163">
        <f t="shared" si="22"/>
        <v>9670.3099999999977</v>
      </c>
      <c r="O131" s="164">
        <f t="shared" si="23"/>
        <v>80.195965594921148</v>
      </c>
      <c r="Q131">
        <v>34853.280000000006</v>
      </c>
    </row>
    <row r="132" spans="2:17" ht="13.5" x14ac:dyDescent="0.25">
      <c r="B132" s="157" t="s">
        <v>205</v>
      </c>
      <c r="C132" s="158" t="s">
        <v>206</v>
      </c>
      <c r="D132" s="159">
        <v>44329</v>
      </c>
      <c r="E132" s="159">
        <v>79500</v>
      </c>
      <c r="F132" s="159">
        <f t="shared" si="20"/>
        <v>123829</v>
      </c>
      <c r="G132" s="165">
        <v>123829</v>
      </c>
      <c r="H132" s="161">
        <v>1607.36</v>
      </c>
      <c r="I132" s="162">
        <f t="shared" si="31"/>
        <v>107841.48999999999</v>
      </c>
      <c r="J132" s="109">
        <f t="shared" si="28"/>
        <v>129083.48999999999</v>
      </c>
      <c r="K132" s="161">
        <v>21242</v>
      </c>
      <c r="L132" s="163">
        <v>72344.456000000006</v>
      </c>
      <c r="M132" s="115">
        <f t="shared" si="29"/>
        <v>15987.510000000009</v>
      </c>
      <c r="N132" s="163">
        <f t="shared" si="22"/>
        <v>15987.510000000009</v>
      </c>
      <c r="O132" s="164">
        <f t="shared" si="23"/>
        <v>87.089042146831517</v>
      </c>
      <c r="Q132">
        <v>106234.12999999999</v>
      </c>
    </row>
    <row r="133" spans="2:17" ht="13.5" x14ac:dyDescent="0.25">
      <c r="B133" s="157" t="s">
        <v>207</v>
      </c>
      <c r="C133" s="158" t="s">
        <v>208</v>
      </c>
      <c r="D133" s="159">
        <v>28706</v>
      </c>
      <c r="E133" s="159">
        <v>-17850</v>
      </c>
      <c r="F133" s="159">
        <f t="shared" si="20"/>
        <v>10856</v>
      </c>
      <c r="G133" s="165">
        <v>10856</v>
      </c>
      <c r="H133" s="161">
        <v>0</v>
      </c>
      <c r="I133" s="162">
        <f t="shared" si="31"/>
        <v>4757.8600000000006</v>
      </c>
      <c r="J133" s="109">
        <f t="shared" si="28"/>
        <v>5199.8600000000006</v>
      </c>
      <c r="K133" s="161">
        <v>442</v>
      </c>
      <c r="L133" s="163">
        <v>4758</v>
      </c>
      <c r="M133" s="115">
        <f t="shared" si="29"/>
        <v>6098.1399999999994</v>
      </c>
      <c r="N133" s="163">
        <f t="shared" si="22"/>
        <v>6098.1399999999994</v>
      </c>
      <c r="O133" s="164">
        <f t="shared" si="23"/>
        <v>43.827008106116438</v>
      </c>
      <c r="Q133">
        <v>4757.8600000000006</v>
      </c>
    </row>
    <row r="134" spans="2:17" ht="13.5" hidden="1" x14ac:dyDescent="0.25">
      <c r="B134" s="157">
        <v>246</v>
      </c>
      <c r="C134" s="158" t="s">
        <v>209</v>
      </c>
      <c r="D134" s="159"/>
      <c r="E134" s="159"/>
      <c r="F134" s="159">
        <f t="shared" si="20"/>
        <v>0</v>
      </c>
      <c r="G134" s="165">
        <v>0</v>
      </c>
      <c r="H134" s="161"/>
      <c r="I134" s="162">
        <f t="shared" si="31"/>
        <v>0</v>
      </c>
      <c r="J134" s="109">
        <f t="shared" si="28"/>
        <v>0</v>
      </c>
      <c r="K134" s="161"/>
      <c r="L134" s="163"/>
      <c r="M134" s="115">
        <f t="shared" si="29"/>
        <v>0</v>
      </c>
      <c r="N134" s="163">
        <f t="shared" si="22"/>
        <v>0</v>
      </c>
      <c r="O134" s="164" t="s">
        <v>2</v>
      </c>
      <c r="Q134">
        <v>0</v>
      </c>
    </row>
    <row r="135" spans="2:17" ht="13.5" x14ac:dyDescent="0.25">
      <c r="B135" s="157" t="s">
        <v>210</v>
      </c>
      <c r="C135" s="158" t="s">
        <v>211</v>
      </c>
      <c r="D135" s="159">
        <v>68695</v>
      </c>
      <c r="E135" s="159">
        <v>-2264</v>
      </c>
      <c r="F135" s="159">
        <f t="shared" si="20"/>
        <v>66431</v>
      </c>
      <c r="G135" s="160">
        <v>66431</v>
      </c>
      <c r="H135" s="182">
        <v>4523.04</v>
      </c>
      <c r="I135" s="162">
        <f t="shared" si="31"/>
        <v>52585.04</v>
      </c>
      <c r="J135" s="109">
        <f t="shared" si="28"/>
        <v>59585.04</v>
      </c>
      <c r="K135" s="182">
        <v>7000</v>
      </c>
      <c r="L135" s="163">
        <v>40211.5</v>
      </c>
      <c r="M135" s="115">
        <f t="shared" si="29"/>
        <v>13845.96</v>
      </c>
      <c r="N135" s="163">
        <f t="shared" si="22"/>
        <v>13845.96</v>
      </c>
      <c r="O135" s="164">
        <f t="shared" si="23"/>
        <v>79.157381343047675</v>
      </c>
      <c r="Q135">
        <v>48062</v>
      </c>
    </row>
    <row r="136" spans="2:17" x14ac:dyDescent="0.2">
      <c r="B136" s="189" t="s">
        <v>212</v>
      </c>
      <c r="C136" s="190" t="s">
        <v>213</v>
      </c>
      <c r="D136" s="151">
        <f>SUM(D138:D144)</f>
        <v>474000</v>
      </c>
      <c r="E136" s="151">
        <f>SUM(E138:E144)</f>
        <v>259239</v>
      </c>
      <c r="F136" s="151">
        <f t="shared" si="20"/>
        <v>733239</v>
      </c>
      <c r="G136" s="153">
        <f>SUM(G138:G144)</f>
        <v>733239</v>
      </c>
      <c r="H136" s="153">
        <f>SUM(H138:H144)</f>
        <v>12672.189999999999</v>
      </c>
      <c r="I136" s="154">
        <f>SUM(I138:I144)</f>
        <v>650563.39999999991</v>
      </c>
      <c r="J136" s="106">
        <f t="shared" si="28"/>
        <v>795037.07999999984</v>
      </c>
      <c r="K136" s="153">
        <f>SUM(K138:K144)</f>
        <v>144473.68</v>
      </c>
      <c r="L136" s="151">
        <f>SUM(L138:L144)</f>
        <v>528886.39999999991</v>
      </c>
      <c r="M136" s="110">
        <f t="shared" si="29"/>
        <v>82675.600000000093</v>
      </c>
      <c r="N136" s="155">
        <f t="shared" si="22"/>
        <v>82675.600000000093</v>
      </c>
      <c r="O136" s="156">
        <f t="shared" si="23"/>
        <v>88.724604119529914</v>
      </c>
      <c r="Q136">
        <v>637899.46000000008</v>
      </c>
    </row>
    <row r="137" spans="2:17" ht="13.5" hidden="1" x14ac:dyDescent="0.25">
      <c r="B137" s="180"/>
      <c r="C137" s="181"/>
      <c r="D137" s="159"/>
      <c r="E137" s="159"/>
      <c r="F137" s="159">
        <f t="shared" si="20"/>
        <v>0</v>
      </c>
      <c r="G137" s="152">
        <v>0</v>
      </c>
      <c r="H137" s="161"/>
      <c r="I137" s="162">
        <f>+Q137+H137</f>
        <v>0</v>
      </c>
      <c r="J137" s="109">
        <f t="shared" si="28"/>
        <v>0</v>
      </c>
      <c r="K137" s="161"/>
      <c r="L137" s="163"/>
      <c r="M137" s="115">
        <f t="shared" si="29"/>
        <v>0</v>
      </c>
      <c r="N137" s="163">
        <f t="shared" si="22"/>
        <v>0</v>
      </c>
      <c r="O137" s="164" t="e">
        <f t="shared" si="23"/>
        <v>#DIV/0!</v>
      </c>
      <c r="Q137">
        <v>0</v>
      </c>
    </row>
    <row r="138" spans="2:17" ht="13.5" x14ac:dyDescent="0.25">
      <c r="B138" s="157" t="s">
        <v>214</v>
      </c>
      <c r="C138" s="158" t="s">
        <v>215</v>
      </c>
      <c r="D138" s="159">
        <v>47545</v>
      </c>
      <c r="E138" s="159">
        <v>-18900</v>
      </c>
      <c r="F138" s="159">
        <f t="shared" si="20"/>
        <v>28645</v>
      </c>
      <c r="G138" s="160">
        <v>28645</v>
      </c>
      <c r="H138" s="161">
        <v>1424.17</v>
      </c>
      <c r="I138" s="162">
        <f t="shared" ref="I138:I191" si="32">+Q138+H138</f>
        <v>26283.93</v>
      </c>
      <c r="J138" s="109">
        <f t="shared" si="28"/>
        <v>27463.93</v>
      </c>
      <c r="K138" s="161">
        <v>1180</v>
      </c>
      <c r="L138" s="163">
        <v>19005.259999999998</v>
      </c>
      <c r="M138" s="115">
        <f t="shared" si="29"/>
        <v>2361.0699999999997</v>
      </c>
      <c r="N138" s="163">
        <f t="shared" si="22"/>
        <v>2361.0699999999997</v>
      </c>
      <c r="O138" s="164">
        <f t="shared" si="23"/>
        <v>91.757479490312448</v>
      </c>
      <c r="Q138">
        <v>24859.760000000002</v>
      </c>
    </row>
    <row r="139" spans="2:17" ht="13.5" x14ac:dyDescent="0.25">
      <c r="B139" s="157" t="s">
        <v>216</v>
      </c>
      <c r="C139" s="158" t="s">
        <v>217</v>
      </c>
      <c r="D139" s="159">
        <v>65728</v>
      </c>
      <c r="E139" s="159">
        <v>-6500</v>
      </c>
      <c r="F139" s="159">
        <f t="shared" si="20"/>
        <v>59228</v>
      </c>
      <c r="G139" s="160">
        <v>59228</v>
      </c>
      <c r="H139" s="161">
        <v>516.87</v>
      </c>
      <c r="I139" s="162">
        <f t="shared" si="32"/>
        <v>42993.43</v>
      </c>
      <c r="J139" s="109">
        <f t="shared" si="28"/>
        <v>44346.43</v>
      </c>
      <c r="K139" s="161">
        <v>1353</v>
      </c>
      <c r="L139" s="163">
        <v>39194.44</v>
      </c>
      <c r="M139" s="115">
        <f t="shared" si="29"/>
        <v>16234.57</v>
      </c>
      <c r="N139" s="163">
        <f t="shared" si="22"/>
        <v>16234.57</v>
      </c>
      <c r="O139" s="164">
        <f t="shared" si="23"/>
        <v>72.589704193962319</v>
      </c>
      <c r="Q139">
        <v>42476.56</v>
      </c>
    </row>
    <row r="140" spans="2:17" ht="13.5" x14ac:dyDescent="0.25">
      <c r="B140" s="157">
        <v>254</v>
      </c>
      <c r="C140" s="158" t="s">
        <v>218</v>
      </c>
      <c r="D140" s="159">
        <v>39808</v>
      </c>
      <c r="E140" s="159">
        <v>6029</v>
      </c>
      <c r="F140" s="159">
        <f t="shared" si="20"/>
        <v>45837</v>
      </c>
      <c r="G140" s="159">
        <v>45837</v>
      </c>
      <c r="H140" s="160">
        <v>4.71</v>
      </c>
      <c r="I140" s="162">
        <f t="shared" si="32"/>
        <v>36677.06</v>
      </c>
      <c r="J140" s="109">
        <f t="shared" si="28"/>
        <v>43646.06</v>
      </c>
      <c r="K140" s="160">
        <v>6969</v>
      </c>
      <c r="L140" s="163">
        <v>33214.33</v>
      </c>
      <c r="M140" s="115">
        <f t="shared" si="29"/>
        <v>9159.9400000000023</v>
      </c>
      <c r="N140" s="163">
        <f t="shared" si="22"/>
        <v>9159.9400000000023</v>
      </c>
      <c r="O140" s="164">
        <f t="shared" si="23"/>
        <v>80.016275061631433</v>
      </c>
      <c r="Q140">
        <v>36672.35</v>
      </c>
    </row>
    <row r="141" spans="2:17" ht="13.5" x14ac:dyDescent="0.25">
      <c r="B141" s="157" t="s">
        <v>219</v>
      </c>
      <c r="C141" s="158" t="s">
        <v>220</v>
      </c>
      <c r="D141" s="159">
        <v>140830</v>
      </c>
      <c r="E141" s="195">
        <v>117134</v>
      </c>
      <c r="F141" s="159">
        <f t="shared" si="20"/>
        <v>257964</v>
      </c>
      <c r="G141" s="159">
        <v>257964</v>
      </c>
      <c r="H141" s="165">
        <v>1043.57</v>
      </c>
      <c r="I141" s="162">
        <f t="shared" si="32"/>
        <v>223814.57</v>
      </c>
      <c r="J141" s="109">
        <f t="shared" si="28"/>
        <v>298354.49</v>
      </c>
      <c r="K141" s="165">
        <v>74539.92</v>
      </c>
      <c r="L141" s="163">
        <v>180788.45</v>
      </c>
      <c r="M141" s="115">
        <f t="shared" si="29"/>
        <v>34149.429999999993</v>
      </c>
      <c r="N141" s="163">
        <f t="shared" si="22"/>
        <v>34149.429999999993</v>
      </c>
      <c r="O141" s="164">
        <f t="shared" si="23"/>
        <v>86.761939650493872</v>
      </c>
      <c r="Q141">
        <v>222771</v>
      </c>
    </row>
    <row r="142" spans="2:17" ht="13.5" x14ac:dyDescent="0.25">
      <c r="B142" s="157" t="s">
        <v>221</v>
      </c>
      <c r="C142" s="158" t="s">
        <v>222</v>
      </c>
      <c r="D142" s="159">
        <v>62592</v>
      </c>
      <c r="E142" s="159">
        <v>72750</v>
      </c>
      <c r="F142" s="159">
        <f t="shared" si="20"/>
        <v>135342</v>
      </c>
      <c r="G142" s="159">
        <v>135342</v>
      </c>
      <c r="H142" s="165">
        <v>2594.16</v>
      </c>
      <c r="I142" s="162">
        <f t="shared" si="32"/>
        <v>128283.54999999999</v>
      </c>
      <c r="J142" s="109">
        <f t="shared" si="28"/>
        <v>159250.54999999999</v>
      </c>
      <c r="K142" s="165">
        <v>30967</v>
      </c>
      <c r="L142" s="163">
        <v>120168</v>
      </c>
      <c r="M142" s="115">
        <f t="shared" si="29"/>
        <v>7058.4500000000116</v>
      </c>
      <c r="N142" s="163">
        <f t="shared" si="22"/>
        <v>7058.4500000000116</v>
      </c>
      <c r="O142" s="164">
        <f t="shared" si="23"/>
        <v>94.784730534497783</v>
      </c>
      <c r="Q142">
        <v>125689.38999999998</v>
      </c>
    </row>
    <row r="143" spans="2:17" ht="13.5" x14ac:dyDescent="0.25">
      <c r="B143" s="157">
        <v>257</v>
      </c>
      <c r="C143" s="158" t="s">
        <v>223</v>
      </c>
      <c r="D143" s="163">
        <v>27605</v>
      </c>
      <c r="E143" s="163">
        <v>1526</v>
      </c>
      <c r="F143" s="159">
        <f t="shared" si="20"/>
        <v>29131</v>
      </c>
      <c r="G143" s="159">
        <v>29131</v>
      </c>
      <c r="H143" s="165">
        <v>229.89</v>
      </c>
      <c r="I143" s="162">
        <f t="shared" si="32"/>
        <v>24769.040000000001</v>
      </c>
      <c r="J143" s="109">
        <f t="shared" si="28"/>
        <v>30918.04</v>
      </c>
      <c r="K143" s="165">
        <v>6149</v>
      </c>
      <c r="L143" s="163">
        <v>14971.74</v>
      </c>
      <c r="M143" s="115">
        <f t="shared" si="29"/>
        <v>4361.9599999999991</v>
      </c>
      <c r="N143" s="163">
        <f t="shared" si="22"/>
        <v>4361.9599999999991</v>
      </c>
      <c r="O143" s="164">
        <f t="shared" si="23"/>
        <v>85.026397995262784</v>
      </c>
      <c r="Q143">
        <v>24539.15</v>
      </c>
    </row>
    <row r="144" spans="2:17" ht="13.5" x14ac:dyDescent="0.25">
      <c r="B144" s="157" t="s">
        <v>224</v>
      </c>
      <c r="C144" s="158" t="s">
        <v>225</v>
      </c>
      <c r="D144" s="159">
        <v>89892</v>
      </c>
      <c r="E144" s="159">
        <v>87200</v>
      </c>
      <c r="F144" s="159">
        <f t="shared" si="20"/>
        <v>177092</v>
      </c>
      <c r="G144" s="185">
        <v>177092</v>
      </c>
      <c r="H144" s="185">
        <v>6858.82</v>
      </c>
      <c r="I144" s="162">
        <f t="shared" si="32"/>
        <v>167741.82</v>
      </c>
      <c r="J144" s="109">
        <f t="shared" si="28"/>
        <v>191057.58000000002</v>
      </c>
      <c r="K144" s="185">
        <v>23315.759999999998</v>
      </c>
      <c r="L144" s="163">
        <v>121544.18</v>
      </c>
      <c r="M144" s="115">
        <f t="shared" si="29"/>
        <v>9350.179999999993</v>
      </c>
      <c r="N144" s="163">
        <f t="shared" si="22"/>
        <v>9350.179999999993</v>
      </c>
      <c r="O144" s="164">
        <f t="shared" si="23"/>
        <v>94.720156754681184</v>
      </c>
      <c r="Q144">
        <v>160883</v>
      </c>
    </row>
    <row r="145" spans="2:17" x14ac:dyDescent="0.2">
      <c r="B145" s="189" t="s">
        <v>226</v>
      </c>
      <c r="C145" s="190" t="s">
        <v>227</v>
      </c>
      <c r="D145" s="151">
        <f>SUM(D146:D150)</f>
        <v>171000</v>
      </c>
      <c r="E145" s="151">
        <f>SUM(E146:E150)</f>
        <v>36644</v>
      </c>
      <c r="F145" s="152">
        <f t="shared" si="20"/>
        <v>207644</v>
      </c>
      <c r="G145" s="196">
        <f>SUM(G146:G150)</f>
        <v>207644</v>
      </c>
      <c r="H145" s="197">
        <f>SUM(H146:H150)</f>
        <v>2768.82</v>
      </c>
      <c r="I145" s="191">
        <f>SUM(I146:I150)</f>
        <v>151416.87000000002</v>
      </c>
      <c r="J145" s="106">
        <f t="shared" si="28"/>
        <v>184077.68000000002</v>
      </c>
      <c r="K145" s="197">
        <f>SUM(K146:K150)</f>
        <v>32660.809999999998</v>
      </c>
      <c r="L145" s="151">
        <f>SUM(L146:L150)</f>
        <v>121846.65</v>
      </c>
      <c r="M145" s="110">
        <f t="shared" si="29"/>
        <v>56227.129999999976</v>
      </c>
      <c r="N145" s="155">
        <f t="shared" si="22"/>
        <v>56227.129999999976</v>
      </c>
      <c r="O145" s="156">
        <f t="shared" si="23"/>
        <v>72.921379861686361</v>
      </c>
      <c r="Q145">
        <v>148648.04999999999</v>
      </c>
    </row>
    <row r="146" spans="2:17" ht="13.5" x14ac:dyDescent="0.25">
      <c r="B146" s="183">
        <v>261</v>
      </c>
      <c r="C146" s="181" t="s">
        <v>228</v>
      </c>
      <c r="D146" s="159">
        <v>5596</v>
      </c>
      <c r="E146" s="163">
        <v>7500</v>
      </c>
      <c r="F146" s="160">
        <f t="shared" si="20"/>
        <v>13096</v>
      </c>
      <c r="G146" s="198">
        <v>13096</v>
      </c>
      <c r="H146" s="199">
        <v>0</v>
      </c>
      <c r="I146" s="162">
        <f t="shared" si="32"/>
        <v>9661.35</v>
      </c>
      <c r="J146" s="109">
        <f t="shared" si="28"/>
        <v>10911.16</v>
      </c>
      <c r="K146" s="199">
        <v>1249.81</v>
      </c>
      <c r="L146" s="163">
        <v>9661.35</v>
      </c>
      <c r="M146" s="115">
        <f t="shared" si="29"/>
        <v>3434.6499999999996</v>
      </c>
      <c r="N146" s="163">
        <f t="shared" si="22"/>
        <v>3434.6499999999996</v>
      </c>
      <c r="O146" s="164">
        <f t="shared" si="23"/>
        <v>73.773289554062316</v>
      </c>
      <c r="Q146">
        <v>9661.35</v>
      </c>
    </row>
    <row r="147" spans="2:17" ht="13.5" x14ac:dyDescent="0.25">
      <c r="B147" s="157" t="s">
        <v>229</v>
      </c>
      <c r="C147" s="158" t="s">
        <v>230</v>
      </c>
      <c r="D147" s="159">
        <v>55947</v>
      </c>
      <c r="E147" s="163">
        <v>7500</v>
      </c>
      <c r="F147" s="160">
        <f t="shared" si="20"/>
        <v>63447</v>
      </c>
      <c r="G147" s="200">
        <v>63447</v>
      </c>
      <c r="H147" s="201">
        <v>621.66</v>
      </c>
      <c r="I147" s="162">
        <f t="shared" si="32"/>
        <v>48645.48</v>
      </c>
      <c r="J147" s="109">
        <f t="shared" si="28"/>
        <v>60638.48</v>
      </c>
      <c r="K147" s="201">
        <v>11993</v>
      </c>
      <c r="L147" s="163">
        <v>36746.81</v>
      </c>
      <c r="M147" s="115">
        <f t="shared" si="29"/>
        <v>14801.519999999997</v>
      </c>
      <c r="N147" s="163">
        <f t="shared" si="22"/>
        <v>14801.519999999997</v>
      </c>
      <c r="O147" s="164">
        <f t="shared" si="23"/>
        <v>76.671048276514256</v>
      </c>
      <c r="Q147">
        <v>48023.82</v>
      </c>
    </row>
    <row r="148" spans="2:17" ht="13.5" x14ac:dyDescent="0.25">
      <c r="B148" s="157">
        <v>263</v>
      </c>
      <c r="C148" s="158" t="s">
        <v>334</v>
      </c>
      <c r="D148" s="159">
        <v>30111</v>
      </c>
      <c r="E148" s="163">
        <v>3744</v>
      </c>
      <c r="F148" s="160">
        <f t="shared" si="20"/>
        <v>33855</v>
      </c>
      <c r="G148" s="198">
        <v>33855</v>
      </c>
      <c r="H148" s="199">
        <v>685.87</v>
      </c>
      <c r="I148" s="162">
        <f t="shared" si="32"/>
        <v>23971.46</v>
      </c>
      <c r="J148" s="109">
        <f t="shared" si="28"/>
        <v>30200.46</v>
      </c>
      <c r="K148" s="199">
        <v>6229</v>
      </c>
      <c r="L148" s="163">
        <v>18649.68</v>
      </c>
      <c r="M148" s="115">
        <f t="shared" si="29"/>
        <v>9883.5400000000009</v>
      </c>
      <c r="N148" s="163">
        <f t="shared" si="22"/>
        <v>9883.5400000000009</v>
      </c>
      <c r="O148" s="164">
        <f t="shared" si="23"/>
        <v>70.806261999704617</v>
      </c>
      <c r="Q148">
        <v>23285.59</v>
      </c>
    </row>
    <row r="149" spans="2:17" ht="13.5" x14ac:dyDescent="0.25">
      <c r="B149" s="157" t="s">
        <v>231</v>
      </c>
      <c r="C149" s="202" t="s">
        <v>390</v>
      </c>
      <c r="D149" s="203">
        <v>23576</v>
      </c>
      <c r="E149" s="163">
        <v>12500</v>
      </c>
      <c r="F149" s="160">
        <f t="shared" si="20"/>
        <v>36076</v>
      </c>
      <c r="G149" s="198">
        <v>36076</v>
      </c>
      <c r="H149" s="199">
        <v>1277.8900000000001</v>
      </c>
      <c r="I149" s="162">
        <f t="shared" si="32"/>
        <v>19425.57</v>
      </c>
      <c r="J149" s="109">
        <f t="shared" si="28"/>
        <v>24423.57</v>
      </c>
      <c r="K149" s="199">
        <v>4998</v>
      </c>
      <c r="L149" s="163">
        <v>14374.5</v>
      </c>
      <c r="M149" s="115">
        <f t="shared" si="29"/>
        <v>16650.43</v>
      </c>
      <c r="N149" s="163">
        <f t="shared" si="22"/>
        <v>16650.43</v>
      </c>
      <c r="O149" s="164">
        <f t="shared" si="23"/>
        <v>53.84624126843331</v>
      </c>
      <c r="Q149">
        <v>18147.68</v>
      </c>
    </row>
    <row r="150" spans="2:17" ht="13.5" x14ac:dyDescent="0.25">
      <c r="B150" s="157" t="s">
        <v>232</v>
      </c>
      <c r="C150" s="202" t="s">
        <v>233</v>
      </c>
      <c r="D150" s="203">
        <v>55770</v>
      </c>
      <c r="E150" s="163">
        <v>5400</v>
      </c>
      <c r="F150" s="160">
        <f t="shared" si="20"/>
        <v>61170</v>
      </c>
      <c r="G150" s="198">
        <v>61170</v>
      </c>
      <c r="H150" s="199">
        <v>183.4</v>
      </c>
      <c r="I150" s="162">
        <f t="shared" si="32"/>
        <v>49713.01</v>
      </c>
      <c r="J150" s="109">
        <f t="shared" si="28"/>
        <v>57904.01</v>
      </c>
      <c r="K150" s="199">
        <v>8191</v>
      </c>
      <c r="L150" s="163">
        <v>42414.31</v>
      </c>
      <c r="M150" s="115">
        <f t="shared" si="29"/>
        <v>11456.989999999998</v>
      </c>
      <c r="N150" s="163">
        <f t="shared" si="22"/>
        <v>11456.989999999998</v>
      </c>
      <c r="O150" s="164">
        <f t="shared" si="23"/>
        <v>81.270246853032532</v>
      </c>
      <c r="Q150">
        <v>49529.61</v>
      </c>
    </row>
    <row r="151" spans="2:17" x14ac:dyDescent="0.2">
      <c r="B151" s="189" t="s">
        <v>234</v>
      </c>
      <c r="C151" s="204" t="s">
        <v>235</v>
      </c>
      <c r="D151" s="205">
        <f>SUM(D152:D159)</f>
        <v>272000</v>
      </c>
      <c r="E151" s="151">
        <f>SUM(E152:E159)</f>
        <v>427580</v>
      </c>
      <c r="F151" s="152">
        <f t="shared" ref="F151:F214" si="33">+D151+E151</f>
        <v>699580</v>
      </c>
      <c r="G151" s="196">
        <f>SUM(G152:G159)</f>
        <v>699580</v>
      </c>
      <c r="H151" s="196">
        <f>SUM(H152:H159)</f>
        <v>6697.5499999999993</v>
      </c>
      <c r="I151" s="191">
        <f>SUM(I152:I159)</f>
        <v>603333.02</v>
      </c>
      <c r="J151" s="106">
        <f t="shared" si="28"/>
        <v>737040.82000000007</v>
      </c>
      <c r="K151" s="196">
        <f>SUM(K152:K159)</f>
        <v>133707.79999999999</v>
      </c>
      <c r="L151" s="151">
        <f>SUM(L152:L159)</f>
        <v>523652.13</v>
      </c>
      <c r="M151" s="110">
        <f t="shared" si="29"/>
        <v>96246.979999999981</v>
      </c>
      <c r="N151" s="155">
        <f t="shared" si="22"/>
        <v>96246.979999999981</v>
      </c>
      <c r="O151" s="156">
        <f t="shared" si="23"/>
        <v>86.242176734612201</v>
      </c>
      <c r="Q151">
        <v>596635.47000000009</v>
      </c>
    </row>
    <row r="152" spans="2:17" ht="13.5" x14ac:dyDescent="0.25">
      <c r="B152" s="157" t="s">
        <v>236</v>
      </c>
      <c r="C152" s="202" t="s">
        <v>237</v>
      </c>
      <c r="D152" s="203">
        <v>18513</v>
      </c>
      <c r="E152" s="163">
        <v>73000</v>
      </c>
      <c r="F152" s="160">
        <f t="shared" si="33"/>
        <v>91513</v>
      </c>
      <c r="G152" s="198">
        <v>91513</v>
      </c>
      <c r="H152" s="199">
        <v>48.68</v>
      </c>
      <c r="I152" s="162">
        <f t="shared" si="32"/>
        <v>69065.5</v>
      </c>
      <c r="J152" s="109">
        <f t="shared" si="28"/>
        <v>98011.5</v>
      </c>
      <c r="K152" s="199">
        <v>28946</v>
      </c>
      <c r="L152" s="163">
        <v>56025.09</v>
      </c>
      <c r="M152" s="115">
        <f t="shared" si="29"/>
        <v>22447.5</v>
      </c>
      <c r="N152" s="163">
        <f t="shared" si="22"/>
        <v>22447.5</v>
      </c>
      <c r="O152" s="164">
        <f t="shared" si="23"/>
        <v>75.470698152175103</v>
      </c>
      <c r="Q152">
        <v>69016.820000000007</v>
      </c>
    </row>
    <row r="153" spans="2:17" ht="13.5" x14ac:dyDescent="0.25">
      <c r="B153" s="157" t="s">
        <v>238</v>
      </c>
      <c r="C153" s="158" t="s">
        <v>239</v>
      </c>
      <c r="D153" s="159">
        <v>30661</v>
      </c>
      <c r="E153" s="159">
        <v>-16000</v>
      </c>
      <c r="F153" s="160">
        <f t="shared" si="33"/>
        <v>14661</v>
      </c>
      <c r="G153" s="198">
        <v>14661</v>
      </c>
      <c r="H153" s="199">
        <v>0</v>
      </c>
      <c r="I153" s="162">
        <f t="shared" si="32"/>
        <v>11679.41</v>
      </c>
      <c r="J153" s="109">
        <f t="shared" si="28"/>
        <v>11679.41</v>
      </c>
      <c r="K153" s="199"/>
      <c r="L153" s="163">
        <v>9741.6299999999992</v>
      </c>
      <c r="M153" s="115">
        <f t="shared" si="29"/>
        <v>2981.59</v>
      </c>
      <c r="N153" s="163">
        <f t="shared" si="22"/>
        <v>2981.59</v>
      </c>
      <c r="O153" s="164">
        <f t="shared" si="23"/>
        <v>79.663119841757037</v>
      </c>
      <c r="Q153">
        <v>11679.41</v>
      </c>
    </row>
    <row r="154" spans="2:17" ht="13.5" x14ac:dyDescent="0.25">
      <c r="B154" s="157" t="s">
        <v>240</v>
      </c>
      <c r="C154" s="158" t="s">
        <v>241</v>
      </c>
      <c r="D154" s="159">
        <v>67641</v>
      </c>
      <c r="E154" s="159">
        <v>40430</v>
      </c>
      <c r="F154" s="160">
        <f t="shared" si="33"/>
        <v>108071</v>
      </c>
      <c r="G154" s="198">
        <v>108071</v>
      </c>
      <c r="H154" s="199">
        <v>2743.97</v>
      </c>
      <c r="I154" s="162">
        <f t="shared" si="32"/>
        <v>96547.39</v>
      </c>
      <c r="J154" s="109">
        <f t="shared" si="28"/>
        <v>104674.39</v>
      </c>
      <c r="K154" s="199">
        <v>8127</v>
      </c>
      <c r="L154" s="163">
        <v>84488.63</v>
      </c>
      <c r="M154" s="115">
        <f t="shared" si="29"/>
        <v>11523.61</v>
      </c>
      <c r="N154" s="163">
        <f t="shared" si="22"/>
        <v>11523.61</v>
      </c>
      <c r="O154" s="164">
        <f t="shared" si="23"/>
        <v>89.33700067548186</v>
      </c>
      <c r="Q154">
        <v>93803.42</v>
      </c>
    </row>
    <row r="155" spans="2:17" ht="13.5" x14ac:dyDescent="0.25">
      <c r="B155" s="157" t="s">
        <v>242</v>
      </c>
      <c r="C155" s="158" t="s">
        <v>243</v>
      </c>
      <c r="D155" s="159">
        <v>30250</v>
      </c>
      <c r="E155" s="159">
        <v>26550</v>
      </c>
      <c r="F155" s="160">
        <f t="shared" si="33"/>
        <v>56800</v>
      </c>
      <c r="G155" s="198">
        <v>56800</v>
      </c>
      <c r="H155" s="199">
        <v>188.02</v>
      </c>
      <c r="I155" s="162">
        <f t="shared" si="32"/>
        <v>42765.55999999999</v>
      </c>
      <c r="J155" s="109">
        <f t="shared" si="28"/>
        <v>67704.359999999986</v>
      </c>
      <c r="K155" s="199">
        <v>24938.799999999999</v>
      </c>
      <c r="L155" s="163">
        <v>25726.34</v>
      </c>
      <c r="M155" s="115">
        <f t="shared" si="29"/>
        <v>14034.44000000001</v>
      </c>
      <c r="N155" s="163">
        <f t="shared" si="22"/>
        <v>14034.44000000001</v>
      </c>
      <c r="O155" s="164">
        <f t="shared" si="23"/>
        <v>75.291478873239427</v>
      </c>
      <c r="Q155">
        <v>42577.539999999994</v>
      </c>
    </row>
    <row r="156" spans="2:17" ht="13.5" x14ac:dyDescent="0.25">
      <c r="B156" s="157" t="s">
        <v>244</v>
      </c>
      <c r="C156" s="158" t="s">
        <v>245</v>
      </c>
      <c r="D156" s="159">
        <v>94638</v>
      </c>
      <c r="E156" s="163">
        <v>255600</v>
      </c>
      <c r="F156" s="160">
        <f t="shared" si="33"/>
        <v>350238</v>
      </c>
      <c r="G156" s="198">
        <v>350238</v>
      </c>
      <c r="H156" s="199">
        <v>26.7</v>
      </c>
      <c r="I156" s="162">
        <f t="shared" si="32"/>
        <v>323598.04000000004</v>
      </c>
      <c r="J156" s="109">
        <f t="shared" si="28"/>
        <v>385832.04000000004</v>
      </c>
      <c r="K156" s="199">
        <v>62234</v>
      </c>
      <c r="L156" s="163">
        <v>296645.07</v>
      </c>
      <c r="M156" s="115">
        <f t="shared" si="29"/>
        <v>26639.959999999963</v>
      </c>
      <c r="N156" s="163">
        <f t="shared" si="22"/>
        <v>26639.959999999963</v>
      </c>
      <c r="O156" s="164">
        <f t="shared" si="23"/>
        <v>92.393755103672376</v>
      </c>
      <c r="Q156">
        <v>323571.34000000003</v>
      </c>
    </row>
    <row r="157" spans="2:17" ht="13.5" x14ac:dyDescent="0.25">
      <c r="B157" s="157">
        <v>277</v>
      </c>
      <c r="C157" s="158" t="s">
        <v>246</v>
      </c>
      <c r="D157" s="159">
        <v>2000</v>
      </c>
      <c r="E157" s="163"/>
      <c r="F157" s="160">
        <f t="shared" si="33"/>
        <v>2000</v>
      </c>
      <c r="G157" s="198">
        <v>2000</v>
      </c>
      <c r="H157" s="199">
        <v>0</v>
      </c>
      <c r="I157" s="162">
        <f t="shared" si="32"/>
        <v>1188.25</v>
      </c>
      <c r="J157" s="109">
        <f t="shared" si="28"/>
        <v>1589.25</v>
      </c>
      <c r="K157" s="199">
        <v>401</v>
      </c>
      <c r="L157" s="163">
        <v>1180.68</v>
      </c>
      <c r="M157" s="115">
        <f t="shared" si="29"/>
        <v>811.75</v>
      </c>
      <c r="N157" s="163">
        <f t="shared" si="22"/>
        <v>811.75</v>
      </c>
      <c r="O157" s="164">
        <f t="shared" si="23"/>
        <v>59.412500000000001</v>
      </c>
      <c r="Q157">
        <v>1188.25</v>
      </c>
    </row>
    <row r="158" spans="2:17" ht="13.5" x14ac:dyDescent="0.25">
      <c r="B158" s="157">
        <v>278</v>
      </c>
      <c r="C158" s="158" t="s">
        <v>247</v>
      </c>
      <c r="D158" s="159">
        <v>2500</v>
      </c>
      <c r="E158" s="163">
        <v>-500</v>
      </c>
      <c r="F158" s="160">
        <f t="shared" si="33"/>
        <v>2000</v>
      </c>
      <c r="G158" s="198">
        <v>2000</v>
      </c>
      <c r="H158" s="199"/>
      <c r="I158" s="162">
        <f t="shared" si="32"/>
        <v>0</v>
      </c>
      <c r="J158" s="109">
        <f t="shared" si="28"/>
        <v>0</v>
      </c>
      <c r="K158" s="199"/>
      <c r="L158" s="163">
        <v>0</v>
      </c>
      <c r="M158" s="115">
        <f t="shared" si="29"/>
        <v>2000</v>
      </c>
      <c r="N158" s="163">
        <f t="shared" ref="N158:N231" si="34">+F158-I158</f>
        <v>2000</v>
      </c>
      <c r="O158" s="164">
        <v>0</v>
      </c>
      <c r="Q158">
        <v>0</v>
      </c>
    </row>
    <row r="159" spans="2:17" ht="13.5" x14ac:dyDescent="0.25">
      <c r="B159" s="157" t="s">
        <v>248</v>
      </c>
      <c r="C159" s="158" t="s">
        <v>249</v>
      </c>
      <c r="D159" s="159">
        <v>25797</v>
      </c>
      <c r="E159" s="163">
        <v>48500</v>
      </c>
      <c r="F159" s="160">
        <f t="shared" si="33"/>
        <v>74297</v>
      </c>
      <c r="G159" s="198">
        <v>74297</v>
      </c>
      <c r="H159" s="199">
        <v>3690.18</v>
      </c>
      <c r="I159" s="162">
        <f t="shared" si="32"/>
        <v>58488.87000000001</v>
      </c>
      <c r="J159" s="109">
        <f t="shared" si="28"/>
        <v>67549.87000000001</v>
      </c>
      <c r="K159" s="199">
        <v>9061</v>
      </c>
      <c r="L159" s="163">
        <v>49844.69</v>
      </c>
      <c r="M159" s="115">
        <f t="shared" si="29"/>
        <v>15808.12999999999</v>
      </c>
      <c r="N159" s="163">
        <f t="shared" si="34"/>
        <v>15808.12999999999</v>
      </c>
      <c r="O159" s="164">
        <f t="shared" ref="O159:O230" si="35">+I159*100/G159</f>
        <v>78.723057458578424</v>
      </c>
      <c r="Q159">
        <v>54798.69000000001</v>
      </c>
    </row>
    <row r="160" spans="2:17" x14ac:dyDescent="0.2">
      <c r="B160" s="189" t="s">
        <v>250</v>
      </c>
      <c r="C160" s="190" t="s">
        <v>251</v>
      </c>
      <c r="D160" s="151">
        <v>222000</v>
      </c>
      <c r="E160" s="151">
        <v>23900</v>
      </c>
      <c r="F160" s="152">
        <f t="shared" si="33"/>
        <v>245900</v>
      </c>
      <c r="G160" s="206">
        <v>245900</v>
      </c>
      <c r="H160" s="196">
        <v>7488.99</v>
      </c>
      <c r="I160" s="191">
        <f t="shared" si="32"/>
        <v>232091.56</v>
      </c>
      <c r="J160" s="106">
        <f t="shared" si="28"/>
        <v>268250.34999999998</v>
      </c>
      <c r="K160" s="196">
        <v>36158.79</v>
      </c>
      <c r="L160" s="155">
        <v>159317.6</v>
      </c>
      <c r="M160" s="110">
        <f t="shared" si="29"/>
        <v>13808.440000000002</v>
      </c>
      <c r="N160" s="155">
        <f t="shared" si="34"/>
        <v>13808.440000000002</v>
      </c>
      <c r="O160" s="156">
        <f t="shared" si="35"/>
        <v>94.384530296868647</v>
      </c>
      <c r="Q160">
        <v>224602.57</v>
      </c>
    </row>
    <row r="161" spans="1:17" ht="7.5" customHeight="1" x14ac:dyDescent="0.25">
      <c r="A161" s="18"/>
      <c r="B161" s="207"/>
      <c r="C161" s="208"/>
      <c r="D161" s="209"/>
      <c r="E161" s="209"/>
      <c r="F161" s="209">
        <v>0</v>
      </c>
      <c r="G161" s="208">
        <v>0</v>
      </c>
      <c r="H161" s="208"/>
      <c r="I161" s="208">
        <f t="shared" si="32"/>
        <v>0</v>
      </c>
      <c r="J161" s="106">
        <f t="shared" si="28"/>
        <v>0</v>
      </c>
      <c r="K161" s="208"/>
      <c r="L161" s="208"/>
      <c r="M161" s="110">
        <f t="shared" si="29"/>
        <v>0</v>
      </c>
      <c r="N161" s="208">
        <f t="shared" si="34"/>
        <v>0</v>
      </c>
      <c r="O161" s="210" t="s">
        <v>2</v>
      </c>
      <c r="Q161">
        <v>0</v>
      </c>
    </row>
    <row r="162" spans="1:17" x14ac:dyDescent="0.2">
      <c r="A162" s="18"/>
      <c r="B162" s="211">
        <v>290</v>
      </c>
      <c r="C162" s="212" t="s">
        <v>252</v>
      </c>
      <c r="D162" s="209">
        <f>SUM(D163:D170)</f>
        <v>0</v>
      </c>
      <c r="E162" s="209">
        <f>SUM(E163:E171)</f>
        <v>12207</v>
      </c>
      <c r="F162" s="209">
        <f t="shared" si="33"/>
        <v>12207</v>
      </c>
      <c r="G162" s="209">
        <f>SUM(G163:G171)</f>
        <v>12207</v>
      </c>
      <c r="H162" s="209">
        <f>SUM(H163:H171)</f>
        <v>3513.99</v>
      </c>
      <c r="I162" s="213">
        <f>SUM(I163:I170)</f>
        <v>7849.3499999999995</v>
      </c>
      <c r="J162" s="106">
        <f t="shared" si="28"/>
        <v>12377.349999999999</v>
      </c>
      <c r="K162" s="209">
        <f>SUM(K163:K171)</f>
        <v>4528</v>
      </c>
      <c r="L162" s="209">
        <f>SUM(L163:L171)</f>
        <v>2971.45</v>
      </c>
      <c r="M162" s="110">
        <f t="shared" si="29"/>
        <v>4357.6500000000005</v>
      </c>
      <c r="N162" s="213">
        <f t="shared" si="34"/>
        <v>4357.6500000000005</v>
      </c>
      <c r="O162" s="214">
        <f t="shared" si="35"/>
        <v>64.302039813221924</v>
      </c>
      <c r="Q162">
        <v>4335.3599999999997</v>
      </c>
    </row>
    <row r="163" spans="1:17" ht="13.5" x14ac:dyDescent="0.25">
      <c r="A163" s="18"/>
      <c r="B163" s="157">
        <v>291</v>
      </c>
      <c r="C163" s="215" t="s">
        <v>253</v>
      </c>
      <c r="D163" s="209"/>
      <c r="E163" s="216">
        <v>3207</v>
      </c>
      <c r="F163" s="216">
        <f t="shared" si="33"/>
        <v>3207</v>
      </c>
      <c r="G163" s="208">
        <v>3207</v>
      </c>
      <c r="H163" s="208">
        <v>0</v>
      </c>
      <c r="I163" s="208">
        <f t="shared" si="32"/>
        <v>2642.45</v>
      </c>
      <c r="J163" s="109">
        <f t="shared" si="28"/>
        <v>2642.45</v>
      </c>
      <c r="K163" s="208">
        <v>0</v>
      </c>
      <c r="L163" s="208">
        <v>2642.45</v>
      </c>
      <c r="M163" s="115">
        <f t="shared" si="29"/>
        <v>564.55000000000018</v>
      </c>
      <c r="N163" s="208">
        <f t="shared" si="34"/>
        <v>564.55000000000018</v>
      </c>
      <c r="O163" s="210">
        <f t="shared" si="35"/>
        <v>82.396320548799494</v>
      </c>
      <c r="Q163">
        <v>2642.45</v>
      </c>
    </row>
    <row r="164" spans="1:17" ht="15" customHeight="1" x14ac:dyDescent="0.25">
      <c r="A164" s="18"/>
      <c r="B164" s="217">
        <v>292</v>
      </c>
      <c r="C164" s="215" t="s">
        <v>355</v>
      </c>
      <c r="D164" s="218"/>
      <c r="E164" s="216">
        <v>990</v>
      </c>
      <c r="F164" s="216">
        <f>+D164+E164</f>
        <v>990</v>
      </c>
      <c r="G164" s="208">
        <v>990</v>
      </c>
      <c r="H164" s="218">
        <v>0</v>
      </c>
      <c r="I164" s="208">
        <f t="shared" si="32"/>
        <v>329.03</v>
      </c>
      <c r="J164" s="109">
        <f t="shared" si="28"/>
        <v>329.03</v>
      </c>
      <c r="K164" s="218">
        <v>0</v>
      </c>
      <c r="L164" s="218">
        <v>329</v>
      </c>
      <c r="M164" s="115">
        <f t="shared" si="29"/>
        <v>660.97</v>
      </c>
      <c r="N164" s="208">
        <f>+F164-I164</f>
        <v>660.97</v>
      </c>
      <c r="O164" s="210">
        <v>0</v>
      </c>
      <c r="Q164">
        <v>329.03</v>
      </c>
    </row>
    <row r="165" spans="1:17" ht="13.5" customHeight="1" x14ac:dyDescent="0.25">
      <c r="A165" s="18"/>
      <c r="B165" s="157">
        <v>293</v>
      </c>
      <c r="C165" s="215" t="s">
        <v>254</v>
      </c>
      <c r="D165" s="216"/>
      <c r="E165" s="216">
        <v>0</v>
      </c>
      <c r="F165" s="216">
        <f>+D165+E165</f>
        <v>0</v>
      </c>
      <c r="G165" s="208">
        <v>0</v>
      </c>
      <c r="H165" s="208">
        <v>0</v>
      </c>
      <c r="I165" s="208">
        <f t="shared" si="32"/>
        <v>0</v>
      </c>
      <c r="J165" s="109">
        <f t="shared" si="28"/>
        <v>0</v>
      </c>
      <c r="K165" s="208">
        <v>0</v>
      </c>
      <c r="L165" s="208"/>
      <c r="M165" s="115">
        <f t="shared" si="29"/>
        <v>0</v>
      </c>
      <c r="N165" s="208">
        <f>+F165-I165</f>
        <v>0</v>
      </c>
      <c r="O165" s="210">
        <v>0</v>
      </c>
      <c r="Q165">
        <v>0</v>
      </c>
    </row>
    <row r="166" spans="1:17" ht="15.75" customHeight="1" x14ac:dyDescent="0.25">
      <c r="A166" s="18"/>
      <c r="B166" s="183">
        <v>295</v>
      </c>
      <c r="C166" s="219" t="s">
        <v>381</v>
      </c>
      <c r="D166" s="209"/>
      <c r="E166" s="216">
        <v>0</v>
      </c>
      <c r="F166" s="216">
        <f t="shared" si="33"/>
        <v>0</v>
      </c>
      <c r="G166" s="208">
        <v>0</v>
      </c>
      <c r="H166" s="208">
        <v>0</v>
      </c>
      <c r="I166" s="208">
        <f t="shared" si="32"/>
        <v>0</v>
      </c>
      <c r="J166" s="109">
        <f t="shared" si="28"/>
        <v>0</v>
      </c>
      <c r="K166" s="208">
        <v>0</v>
      </c>
      <c r="L166" s="208"/>
      <c r="M166" s="115">
        <f t="shared" si="29"/>
        <v>0</v>
      </c>
      <c r="N166" s="208">
        <f t="shared" si="34"/>
        <v>0</v>
      </c>
      <c r="O166" s="210">
        <v>0</v>
      </c>
      <c r="Q166">
        <v>0</v>
      </c>
    </row>
    <row r="167" spans="1:17" ht="15.75" hidden="1" customHeight="1" x14ac:dyDescent="0.25">
      <c r="A167" s="18"/>
      <c r="B167" s="157" t="s">
        <v>2</v>
      </c>
      <c r="C167" s="215" t="s">
        <v>2</v>
      </c>
      <c r="D167" s="216"/>
      <c r="E167" s="216"/>
      <c r="F167" s="216"/>
      <c r="G167" s="208"/>
      <c r="H167" s="208"/>
      <c r="I167" s="208"/>
      <c r="J167" s="109">
        <f t="shared" si="28"/>
        <v>0</v>
      </c>
      <c r="K167" s="208"/>
      <c r="L167" s="208"/>
      <c r="M167" s="115">
        <f t="shared" si="29"/>
        <v>0</v>
      </c>
      <c r="N167" s="208"/>
      <c r="O167" s="210"/>
    </row>
    <row r="168" spans="1:17" ht="15.75" customHeight="1" x14ac:dyDescent="0.25">
      <c r="A168" s="18"/>
      <c r="B168" s="157">
        <v>296</v>
      </c>
      <c r="C168" s="215" t="s">
        <v>356</v>
      </c>
      <c r="D168" s="216"/>
      <c r="E168" s="216">
        <v>1100</v>
      </c>
      <c r="F168" s="216">
        <f>+D168+E168</f>
        <v>1100</v>
      </c>
      <c r="G168" s="208">
        <v>1100</v>
      </c>
      <c r="H168" s="208"/>
      <c r="I168" s="208">
        <f t="shared" si="32"/>
        <v>0</v>
      </c>
      <c r="J168" s="109">
        <f t="shared" si="28"/>
        <v>0</v>
      </c>
      <c r="K168" s="208"/>
      <c r="L168" s="208"/>
      <c r="M168" s="115">
        <f t="shared" si="29"/>
        <v>1100</v>
      </c>
      <c r="N168" s="208">
        <f t="shared" ref="N168" si="36">+F168-I168</f>
        <v>1100</v>
      </c>
      <c r="O168" s="210"/>
      <c r="Q168">
        <v>0</v>
      </c>
    </row>
    <row r="169" spans="1:17" ht="14.25" customHeight="1" x14ac:dyDescent="0.25">
      <c r="A169" s="18"/>
      <c r="B169" s="183">
        <v>297</v>
      </c>
      <c r="C169" s="219" t="s">
        <v>255</v>
      </c>
      <c r="D169" s="209"/>
      <c r="E169" s="216">
        <v>5000</v>
      </c>
      <c r="F169" s="216">
        <f t="shared" si="33"/>
        <v>5000</v>
      </c>
      <c r="G169" s="208">
        <v>5000</v>
      </c>
      <c r="H169" s="208">
        <v>3513.99</v>
      </c>
      <c r="I169" s="208">
        <f t="shared" si="32"/>
        <v>4877.87</v>
      </c>
      <c r="J169" s="109">
        <f t="shared" si="28"/>
        <v>9405.869999999999</v>
      </c>
      <c r="K169" s="208">
        <v>4528</v>
      </c>
      <c r="L169" s="208"/>
      <c r="M169" s="115">
        <f t="shared" si="29"/>
        <v>122.13000000000011</v>
      </c>
      <c r="N169" s="208">
        <f t="shared" si="34"/>
        <v>122.13000000000011</v>
      </c>
      <c r="O169" s="210">
        <f t="shared" si="35"/>
        <v>97.557400000000001</v>
      </c>
      <c r="Q169">
        <v>1363.88</v>
      </c>
    </row>
    <row r="170" spans="1:17" ht="15.75" customHeight="1" x14ac:dyDescent="0.25">
      <c r="A170" s="18"/>
      <c r="B170" s="183">
        <v>298</v>
      </c>
      <c r="C170" s="219" t="s">
        <v>256</v>
      </c>
      <c r="D170" s="209"/>
      <c r="E170" s="216">
        <v>1200</v>
      </c>
      <c r="F170" s="216">
        <f t="shared" si="33"/>
        <v>1200</v>
      </c>
      <c r="G170" s="208">
        <v>1200</v>
      </c>
      <c r="H170" s="208">
        <v>0</v>
      </c>
      <c r="I170" s="208">
        <f t="shared" si="32"/>
        <v>0</v>
      </c>
      <c r="J170" s="109">
        <f t="shared" si="28"/>
        <v>0</v>
      </c>
      <c r="K170" s="208">
        <v>0</v>
      </c>
      <c r="L170" s="208">
        <v>0</v>
      </c>
      <c r="M170" s="115">
        <f t="shared" si="29"/>
        <v>1200</v>
      </c>
      <c r="N170" s="208">
        <f t="shared" si="34"/>
        <v>1200</v>
      </c>
      <c r="O170" s="210" t="s">
        <v>2</v>
      </c>
      <c r="Q170">
        <v>0</v>
      </c>
    </row>
    <row r="171" spans="1:17" ht="16.5" customHeight="1" x14ac:dyDescent="0.25">
      <c r="A171" s="18"/>
      <c r="B171" s="220">
        <v>299</v>
      </c>
      <c r="C171" s="219" t="s">
        <v>325</v>
      </c>
      <c r="D171" s="209"/>
      <c r="E171" s="216">
        <v>710</v>
      </c>
      <c r="F171" s="216">
        <f t="shared" si="33"/>
        <v>710</v>
      </c>
      <c r="G171" s="208">
        <v>710</v>
      </c>
      <c r="H171" s="208">
        <v>0</v>
      </c>
      <c r="I171" s="208">
        <f t="shared" si="32"/>
        <v>0</v>
      </c>
      <c r="J171" s="109">
        <f t="shared" si="28"/>
        <v>0</v>
      </c>
      <c r="K171" s="208">
        <v>0</v>
      </c>
      <c r="L171" s="208"/>
      <c r="M171" s="115">
        <f t="shared" si="29"/>
        <v>710</v>
      </c>
      <c r="N171" s="208">
        <f t="shared" si="34"/>
        <v>710</v>
      </c>
      <c r="O171" s="210" t="s">
        <v>2</v>
      </c>
      <c r="Q171">
        <v>0</v>
      </c>
    </row>
    <row r="172" spans="1:17" x14ac:dyDescent="0.2">
      <c r="A172" s="18"/>
      <c r="B172" s="149" t="s">
        <v>257</v>
      </c>
      <c r="C172" s="221" t="s">
        <v>258</v>
      </c>
      <c r="D172" s="209">
        <f>+D173+D180+D188+D189+D190+D185+D186+D187</f>
        <v>0</v>
      </c>
      <c r="E172" s="209">
        <f>+E173+E180+E185+E186+E187+E188+E189+E190+E191</f>
        <v>1128952</v>
      </c>
      <c r="F172" s="209">
        <f>+F173+F180+F188+F189+F190+F185+F186+F187+F191</f>
        <v>1128952</v>
      </c>
      <c r="G172" s="209">
        <f>+G173+G180+G185+G186+G187+G188+G189+G191+G190</f>
        <v>1128952</v>
      </c>
      <c r="H172" s="209">
        <f>+H173+H180+H188+H189+H190+H185+H186+H187+H191</f>
        <v>138115.69</v>
      </c>
      <c r="I172" s="213">
        <f>+I173+I180+I185+I186+I187+I188+I189+I190+I191</f>
        <v>1023037.2800000001</v>
      </c>
      <c r="J172" s="106">
        <f t="shared" si="28"/>
        <v>1525199.7000000002</v>
      </c>
      <c r="K172" s="209">
        <f>+K173+K180+K188+K189+K190+K185+K186+K187+K191</f>
        <v>502162.42</v>
      </c>
      <c r="L172" s="209">
        <f>+L173+L180+L188+L189+L190+L185+L186+L187+L191</f>
        <v>493842.29000000004</v>
      </c>
      <c r="M172" s="110">
        <f t="shared" si="29"/>
        <v>105914.71999999986</v>
      </c>
      <c r="N172" s="213">
        <f t="shared" si="34"/>
        <v>105914.71999999986</v>
      </c>
      <c r="O172" s="214">
        <f t="shared" si="35"/>
        <v>90.6183150390805</v>
      </c>
      <c r="Q172">
        <v>884921.59</v>
      </c>
    </row>
    <row r="173" spans="1:17" ht="18.75" customHeight="1" x14ac:dyDescent="0.2">
      <c r="A173" s="18"/>
      <c r="B173" s="211">
        <v>300</v>
      </c>
      <c r="C173" s="221" t="s">
        <v>259</v>
      </c>
      <c r="D173" s="213">
        <f>SUM(D174:D178)</f>
        <v>0</v>
      </c>
      <c r="E173" s="213">
        <v>62740</v>
      </c>
      <c r="F173" s="209">
        <f t="shared" si="33"/>
        <v>62740</v>
      </c>
      <c r="G173" s="213">
        <v>62740</v>
      </c>
      <c r="H173" s="213">
        <v>2798.05</v>
      </c>
      <c r="I173" s="213">
        <f t="shared" si="32"/>
        <v>59292.72</v>
      </c>
      <c r="J173" s="106">
        <f t="shared" si="28"/>
        <v>105860.72</v>
      </c>
      <c r="K173" s="213">
        <f>9489+37079</f>
        <v>46568</v>
      </c>
      <c r="L173" s="213">
        <v>21055.85</v>
      </c>
      <c r="M173" s="110">
        <f t="shared" si="29"/>
        <v>3447.2799999999988</v>
      </c>
      <c r="N173" s="213">
        <f t="shared" si="34"/>
        <v>3447.2799999999988</v>
      </c>
      <c r="O173" s="214">
        <f t="shared" si="35"/>
        <v>94.505451067899273</v>
      </c>
      <c r="Q173">
        <v>56494.67</v>
      </c>
    </row>
    <row r="174" spans="1:17" ht="18" hidden="1" customHeight="1" x14ac:dyDescent="0.25">
      <c r="A174" s="18"/>
      <c r="B174" s="183">
        <v>301</v>
      </c>
      <c r="C174" s="215" t="s">
        <v>308</v>
      </c>
      <c r="D174" s="216"/>
      <c r="E174" s="216"/>
      <c r="F174" s="216">
        <f t="shared" si="33"/>
        <v>0</v>
      </c>
      <c r="G174" s="208">
        <v>0</v>
      </c>
      <c r="H174" s="208">
        <v>0</v>
      </c>
      <c r="I174" s="208">
        <f t="shared" si="32"/>
        <v>0</v>
      </c>
      <c r="J174" s="106">
        <f t="shared" si="28"/>
        <v>0</v>
      </c>
      <c r="K174" s="208"/>
      <c r="L174" s="208"/>
      <c r="M174" s="115">
        <f t="shared" si="29"/>
        <v>0</v>
      </c>
      <c r="N174" s="208">
        <f t="shared" si="34"/>
        <v>0</v>
      </c>
      <c r="O174" s="210"/>
      <c r="Q174">
        <v>0</v>
      </c>
    </row>
    <row r="175" spans="1:17" ht="17.25" hidden="1" customHeight="1" x14ac:dyDescent="0.25">
      <c r="A175" s="18"/>
      <c r="B175" s="183">
        <v>303</v>
      </c>
      <c r="C175" s="215" t="s">
        <v>314</v>
      </c>
      <c r="D175" s="216"/>
      <c r="E175" s="216"/>
      <c r="F175" s="216">
        <f t="shared" si="33"/>
        <v>0</v>
      </c>
      <c r="G175" s="208"/>
      <c r="H175" s="208">
        <v>0</v>
      </c>
      <c r="I175" s="208">
        <f t="shared" si="32"/>
        <v>0</v>
      </c>
      <c r="J175" s="106">
        <f t="shared" si="28"/>
        <v>0</v>
      </c>
      <c r="K175" s="208"/>
      <c r="L175" s="208"/>
      <c r="M175" s="115">
        <f t="shared" si="29"/>
        <v>0</v>
      </c>
      <c r="N175" s="208">
        <f t="shared" si="34"/>
        <v>0</v>
      </c>
      <c r="O175" s="210"/>
      <c r="Q175">
        <v>0</v>
      </c>
    </row>
    <row r="176" spans="1:17" ht="15.75" hidden="1" customHeight="1" x14ac:dyDescent="0.25">
      <c r="A176" s="18"/>
      <c r="B176" s="183">
        <v>305</v>
      </c>
      <c r="C176" s="215" t="s">
        <v>336</v>
      </c>
      <c r="D176" s="216">
        <v>0</v>
      </c>
      <c r="E176" s="216"/>
      <c r="F176" s="216">
        <f t="shared" si="33"/>
        <v>0</v>
      </c>
      <c r="G176" s="208">
        <v>0</v>
      </c>
      <c r="H176" s="208">
        <v>0</v>
      </c>
      <c r="I176" s="208">
        <f t="shared" si="32"/>
        <v>0</v>
      </c>
      <c r="J176" s="106">
        <f t="shared" si="28"/>
        <v>0</v>
      </c>
      <c r="K176" s="208"/>
      <c r="L176" s="208">
        <v>0</v>
      </c>
      <c r="M176" s="115">
        <f t="shared" si="29"/>
        <v>0</v>
      </c>
      <c r="N176" s="208">
        <f>+F176-I176</f>
        <v>0</v>
      </c>
      <c r="O176" s="210"/>
      <c r="Q176">
        <v>0</v>
      </c>
    </row>
    <row r="177" spans="1:17" ht="14.25" hidden="1" customHeight="1" x14ac:dyDescent="0.25">
      <c r="A177" s="18"/>
      <c r="B177" s="183">
        <v>307</v>
      </c>
      <c r="C177" s="215" t="s">
        <v>327</v>
      </c>
      <c r="D177" s="216"/>
      <c r="E177" s="216"/>
      <c r="F177" s="216">
        <f t="shared" si="33"/>
        <v>0</v>
      </c>
      <c r="G177" s="208"/>
      <c r="H177" s="208">
        <v>0</v>
      </c>
      <c r="I177" s="208">
        <f t="shared" si="32"/>
        <v>0</v>
      </c>
      <c r="J177" s="106">
        <f t="shared" si="28"/>
        <v>0</v>
      </c>
      <c r="K177" s="208"/>
      <c r="L177" s="208"/>
      <c r="M177" s="115">
        <f t="shared" si="29"/>
        <v>0</v>
      </c>
      <c r="N177" s="208">
        <f>+F177-I177</f>
        <v>0</v>
      </c>
      <c r="O177" s="210"/>
      <c r="Q177">
        <v>0</v>
      </c>
    </row>
    <row r="178" spans="1:17" ht="17.25" hidden="1" customHeight="1" x14ac:dyDescent="0.25">
      <c r="A178" s="18"/>
      <c r="B178" s="183">
        <v>308</v>
      </c>
      <c r="C178" s="215" t="s">
        <v>315</v>
      </c>
      <c r="D178" s="216"/>
      <c r="E178" s="216"/>
      <c r="F178" s="216">
        <f t="shared" si="33"/>
        <v>0</v>
      </c>
      <c r="G178" s="208"/>
      <c r="H178" s="208">
        <v>0</v>
      </c>
      <c r="I178" s="208">
        <f t="shared" si="32"/>
        <v>0</v>
      </c>
      <c r="J178" s="106">
        <f t="shared" si="28"/>
        <v>0</v>
      </c>
      <c r="K178" s="208"/>
      <c r="L178" s="208"/>
      <c r="M178" s="115">
        <f t="shared" si="29"/>
        <v>0</v>
      </c>
      <c r="N178" s="208">
        <f t="shared" si="34"/>
        <v>0</v>
      </c>
      <c r="O178" s="210"/>
      <c r="Q178">
        <v>0</v>
      </c>
    </row>
    <row r="179" spans="1:17" ht="18" hidden="1" customHeight="1" x14ac:dyDescent="0.25">
      <c r="A179" s="18"/>
      <c r="B179" s="183">
        <v>309</v>
      </c>
      <c r="C179" s="215" t="s">
        <v>264</v>
      </c>
      <c r="D179" s="216"/>
      <c r="E179" s="216"/>
      <c r="F179" s="216">
        <f t="shared" si="33"/>
        <v>0</v>
      </c>
      <c r="G179" s="208">
        <v>0</v>
      </c>
      <c r="H179" s="208">
        <v>0</v>
      </c>
      <c r="I179" s="208">
        <f t="shared" si="32"/>
        <v>0</v>
      </c>
      <c r="J179" s="106">
        <f t="shared" si="28"/>
        <v>0</v>
      </c>
      <c r="K179" s="208"/>
      <c r="L179" s="208"/>
      <c r="M179" s="115">
        <f t="shared" si="29"/>
        <v>0</v>
      </c>
      <c r="N179" s="208">
        <f t="shared" si="34"/>
        <v>0</v>
      </c>
      <c r="O179" s="210"/>
      <c r="Q179">
        <v>0</v>
      </c>
    </row>
    <row r="180" spans="1:17" ht="14.25" customHeight="1" x14ac:dyDescent="0.25">
      <c r="A180" s="18"/>
      <c r="B180" s="211">
        <v>310</v>
      </c>
      <c r="C180" s="221" t="s">
        <v>260</v>
      </c>
      <c r="D180" s="209">
        <f>+D181+D182+D183</f>
        <v>0</v>
      </c>
      <c r="E180" s="209">
        <v>327400</v>
      </c>
      <c r="F180" s="209">
        <f t="shared" si="33"/>
        <v>327400</v>
      </c>
      <c r="G180" s="209">
        <v>327400</v>
      </c>
      <c r="H180" s="209">
        <v>127758</v>
      </c>
      <c r="I180" s="213">
        <f t="shared" si="32"/>
        <v>324782.33</v>
      </c>
      <c r="J180" s="106">
        <f t="shared" si="28"/>
        <v>325156.33</v>
      </c>
      <c r="K180" s="209">
        <v>374</v>
      </c>
      <c r="L180" s="209">
        <f>+L181+L182+L183</f>
        <v>0</v>
      </c>
      <c r="M180" s="115">
        <f t="shared" si="29"/>
        <v>2617.6699999999837</v>
      </c>
      <c r="N180" s="213">
        <f t="shared" si="34"/>
        <v>2617.6699999999837</v>
      </c>
      <c r="O180" s="214"/>
      <c r="Q180">
        <v>197024.33000000002</v>
      </c>
    </row>
    <row r="181" spans="1:17" ht="17.25" hidden="1" customHeight="1" x14ac:dyDescent="0.25">
      <c r="A181" s="18"/>
      <c r="B181" s="183">
        <v>313</v>
      </c>
      <c r="C181" s="215" t="s">
        <v>328</v>
      </c>
      <c r="D181" s="216"/>
      <c r="E181" s="216"/>
      <c r="F181" s="216">
        <f>+D181+E181</f>
        <v>0</v>
      </c>
      <c r="G181" s="216">
        <v>0</v>
      </c>
      <c r="H181" s="208">
        <v>0</v>
      </c>
      <c r="I181" s="208">
        <f t="shared" si="32"/>
        <v>0</v>
      </c>
      <c r="J181" s="106">
        <f t="shared" si="28"/>
        <v>0</v>
      </c>
      <c r="K181" s="208"/>
      <c r="L181" s="208"/>
      <c r="M181" s="115">
        <f t="shared" si="29"/>
        <v>0</v>
      </c>
      <c r="N181" s="208">
        <f>+F181-I181</f>
        <v>0</v>
      </c>
      <c r="O181" s="210" t="s">
        <v>2</v>
      </c>
      <c r="Q181">
        <v>0</v>
      </c>
    </row>
    <row r="182" spans="1:17" ht="15.75" hidden="1" customHeight="1" x14ac:dyDescent="0.25">
      <c r="A182" s="18"/>
      <c r="B182" s="183">
        <v>314</v>
      </c>
      <c r="C182" s="215" t="s">
        <v>329</v>
      </c>
      <c r="D182" s="216">
        <v>0</v>
      </c>
      <c r="E182" s="216"/>
      <c r="F182" s="216">
        <f>+D182+E182</f>
        <v>0</v>
      </c>
      <c r="G182" s="216">
        <v>0</v>
      </c>
      <c r="H182" s="208">
        <v>0</v>
      </c>
      <c r="I182" s="208">
        <f t="shared" si="32"/>
        <v>0</v>
      </c>
      <c r="J182" s="106">
        <f t="shared" si="28"/>
        <v>0</v>
      </c>
      <c r="K182" s="208"/>
      <c r="L182" s="208">
        <v>0</v>
      </c>
      <c r="M182" s="115">
        <f t="shared" si="29"/>
        <v>0</v>
      </c>
      <c r="N182" s="208">
        <f>+F182-I182</f>
        <v>0</v>
      </c>
      <c r="O182" s="210"/>
      <c r="Q182">
        <v>0</v>
      </c>
    </row>
    <row r="183" spans="1:17" ht="16.5" hidden="1" customHeight="1" x14ac:dyDescent="0.25">
      <c r="A183" s="18"/>
      <c r="B183" s="183">
        <v>319</v>
      </c>
      <c r="C183" s="215" t="s">
        <v>305</v>
      </c>
      <c r="D183" s="216"/>
      <c r="E183" s="216"/>
      <c r="F183" s="216">
        <f t="shared" si="33"/>
        <v>0</v>
      </c>
      <c r="G183" s="216">
        <v>0</v>
      </c>
      <c r="H183" s="208"/>
      <c r="I183" s="208">
        <f t="shared" si="32"/>
        <v>0</v>
      </c>
      <c r="J183" s="106">
        <f t="shared" si="28"/>
        <v>0</v>
      </c>
      <c r="K183" s="208"/>
      <c r="L183" s="208"/>
      <c r="M183" s="115">
        <f t="shared" si="29"/>
        <v>0</v>
      </c>
      <c r="N183" s="208">
        <f t="shared" si="34"/>
        <v>0</v>
      </c>
      <c r="O183" s="210"/>
      <c r="Q183">
        <v>0</v>
      </c>
    </row>
    <row r="184" spans="1:17" ht="16.5" hidden="1" customHeight="1" x14ac:dyDescent="0.25">
      <c r="A184" s="18"/>
      <c r="B184" s="183">
        <v>319</v>
      </c>
      <c r="C184" s="215" t="s">
        <v>305</v>
      </c>
      <c r="D184" s="216"/>
      <c r="E184" s="216">
        <v>0</v>
      </c>
      <c r="F184" s="216">
        <f t="shared" si="33"/>
        <v>0</v>
      </c>
      <c r="G184" s="208">
        <v>0</v>
      </c>
      <c r="H184" s="208"/>
      <c r="I184" s="208">
        <f t="shared" si="32"/>
        <v>0</v>
      </c>
      <c r="J184" s="106">
        <f t="shared" si="28"/>
        <v>0</v>
      </c>
      <c r="K184" s="208"/>
      <c r="L184" s="208"/>
      <c r="M184" s="115">
        <f t="shared" si="29"/>
        <v>0</v>
      </c>
      <c r="N184" s="208">
        <f t="shared" si="34"/>
        <v>0</v>
      </c>
      <c r="O184" s="210"/>
      <c r="Q184">
        <v>0</v>
      </c>
    </row>
    <row r="185" spans="1:17" ht="15.75" customHeight="1" x14ac:dyDescent="0.2">
      <c r="A185" s="18"/>
      <c r="B185" s="211">
        <v>320</v>
      </c>
      <c r="C185" s="212" t="s">
        <v>261</v>
      </c>
      <c r="D185" s="209">
        <v>0</v>
      </c>
      <c r="E185" s="209">
        <v>69300</v>
      </c>
      <c r="F185" s="209">
        <f t="shared" si="33"/>
        <v>69300</v>
      </c>
      <c r="G185" s="213">
        <v>69300</v>
      </c>
      <c r="H185" s="213">
        <v>0</v>
      </c>
      <c r="I185" s="213">
        <f t="shared" si="32"/>
        <v>62157.91</v>
      </c>
      <c r="J185" s="106">
        <f t="shared" si="28"/>
        <v>87184.91</v>
      </c>
      <c r="K185" s="213">
        <v>25027</v>
      </c>
      <c r="L185" s="213">
        <v>59622.48</v>
      </c>
      <c r="M185" s="110">
        <f t="shared" si="29"/>
        <v>7142.0899999999965</v>
      </c>
      <c r="N185" s="213">
        <f t="shared" si="34"/>
        <v>7142.0899999999965</v>
      </c>
      <c r="O185" s="214">
        <f t="shared" si="35"/>
        <v>89.693953823953819</v>
      </c>
      <c r="Q185">
        <v>62157.91</v>
      </c>
    </row>
    <row r="186" spans="1:17" ht="16.5" customHeight="1" x14ac:dyDescent="0.25">
      <c r="A186" s="18"/>
      <c r="B186" s="211">
        <v>330</v>
      </c>
      <c r="C186" s="212" t="s">
        <v>262</v>
      </c>
      <c r="D186" s="209">
        <v>0</v>
      </c>
      <c r="E186" s="209">
        <v>31025</v>
      </c>
      <c r="F186" s="209">
        <f t="shared" si="33"/>
        <v>31025</v>
      </c>
      <c r="G186" s="213">
        <v>31025</v>
      </c>
      <c r="H186" s="213">
        <v>0</v>
      </c>
      <c r="I186" s="213">
        <f t="shared" si="32"/>
        <v>28023.260000000002</v>
      </c>
      <c r="J186" s="106">
        <f t="shared" si="28"/>
        <v>47418.26</v>
      </c>
      <c r="K186" s="213">
        <f>12395+7000</f>
        <v>19395</v>
      </c>
      <c r="L186" s="213">
        <v>11010.26</v>
      </c>
      <c r="M186" s="115">
        <f t="shared" si="29"/>
        <v>3001.739999999998</v>
      </c>
      <c r="N186" s="213">
        <f t="shared" si="34"/>
        <v>3001.739999999998</v>
      </c>
      <c r="O186" s="214"/>
      <c r="Q186">
        <v>28023.260000000002</v>
      </c>
    </row>
    <row r="187" spans="1:17" ht="12" customHeight="1" x14ac:dyDescent="0.2">
      <c r="A187" s="18"/>
      <c r="B187" s="211">
        <v>340</v>
      </c>
      <c r="C187" s="212" t="s">
        <v>97</v>
      </c>
      <c r="D187" s="209">
        <v>0</v>
      </c>
      <c r="E187" s="209">
        <v>1000</v>
      </c>
      <c r="F187" s="209">
        <f t="shared" si="33"/>
        <v>1000</v>
      </c>
      <c r="G187" s="213">
        <v>1000</v>
      </c>
      <c r="H187" s="213">
        <v>0</v>
      </c>
      <c r="I187" s="213">
        <f t="shared" si="32"/>
        <v>131.44999999999999</v>
      </c>
      <c r="J187" s="106">
        <f t="shared" ref="J187:J191" si="37">+I187+K187</f>
        <v>3262.45</v>
      </c>
      <c r="K187" s="213">
        <v>3131</v>
      </c>
      <c r="L187" s="213">
        <v>131</v>
      </c>
      <c r="M187" s="110">
        <f t="shared" ref="M187:M191" si="38">+G187-I187</f>
        <v>868.55</v>
      </c>
      <c r="N187" s="213">
        <f t="shared" si="34"/>
        <v>868.55</v>
      </c>
      <c r="O187" s="214"/>
      <c r="Q187">
        <v>131.44999999999999</v>
      </c>
    </row>
    <row r="188" spans="1:17" ht="15" customHeight="1" x14ac:dyDescent="0.2">
      <c r="A188" s="18"/>
      <c r="B188" s="211">
        <v>350</v>
      </c>
      <c r="C188" s="212" t="s">
        <v>263</v>
      </c>
      <c r="D188" s="209">
        <v>0</v>
      </c>
      <c r="E188" s="209">
        <v>60440</v>
      </c>
      <c r="F188" s="209">
        <f t="shared" si="33"/>
        <v>60440</v>
      </c>
      <c r="G188" s="213">
        <v>60440</v>
      </c>
      <c r="H188" s="213">
        <v>0</v>
      </c>
      <c r="I188" s="213">
        <f t="shared" si="32"/>
        <v>49918.11</v>
      </c>
      <c r="J188" s="106">
        <f t="shared" si="37"/>
        <v>103278.26000000001</v>
      </c>
      <c r="K188" s="213">
        <v>53360.15</v>
      </c>
      <c r="L188" s="213">
        <v>42297.46</v>
      </c>
      <c r="M188" s="110">
        <f t="shared" si="38"/>
        <v>10521.89</v>
      </c>
      <c r="N188" s="213">
        <f t="shared" si="34"/>
        <v>10521.89</v>
      </c>
      <c r="O188" s="214"/>
      <c r="Q188">
        <v>49918.11</v>
      </c>
    </row>
    <row r="189" spans="1:17" ht="12.75" customHeight="1" x14ac:dyDescent="0.2">
      <c r="A189" s="18"/>
      <c r="B189" s="211">
        <v>370</v>
      </c>
      <c r="C189" s="212" t="s">
        <v>264</v>
      </c>
      <c r="D189" s="209">
        <v>0</v>
      </c>
      <c r="E189" s="209">
        <v>290317</v>
      </c>
      <c r="F189" s="209">
        <f>+D189+E189</f>
        <v>290317</v>
      </c>
      <c r="G189" s="213">
        <f>290317</f>
        <v>290317</v>
      </c>
      <c r="H189" s="213">
        <v>-9687.07</v>
      </c>
      <c r="I189" s="213">
        <f t="shared" si="32"/>
        <v>241991.89</v>
      </c>
      <c r="J189" s="106">
        <f t="shared" si="37"/>
        <v>447401.16000000003</v>
      </c>
      <c r="K189" s="213">
        <v>205409.27</v>
      </c>
      <c r="L189" s="213">
        <v>187570.87</v>
      </c>
      <c r="M189" s="110">
        <f t="shared" si="38"/>
        <v>48325.109999999986</v>
      </c>
      <c r="N189" s="213">
        <f t="shared" si="34"/>
        <v>48325.109999999986</v>
      </c>
      <c r="O189" s="214">
        <f t="shared" si="35"/>
        <v>83.354364367226168</v>
      </c>
      <c r="Q189">
        <v>251678.96000000002</v>
      </c>
    </row>
    <row r="190" spans="1:17" ht="12.75" customHeight="1" x14ac:dyDescent="0.2">
      <c r="A190" s="18"/>
      <c r="B190" s="211">
        <v>380</v>
      </c>
      <c r="C190" s="212" t="s">
        <v>265</v>
      </c>
      <c r="D190" s="209"/>
      <c r="E190" s="209">
        <f>221680</f>
        <v>221680</v>
      </c>
      <c r="F190" s="209">
        <f t="shared" si="33"/>
        <v>221680</v>
      </c>
      <c r="G190" s="213">
        <v>221680</v>
      </c>
      <c r="H190" s="213">
        <v>17246.71</v>
      </c>
      <c r="I190" s="213">
        <f t="shared" si="32"/>
        <v>200651.76999999996</v>
      </c>
      <c r="J190" s="106">
        <f t="shared" si="37"/>
        <v>324035.76999999996</v>
      </c>
      <c r="K190" s="213">
        <f>111384+12000</f>
        <v>123384</v>
      </c>
      <c r="L190" s="213">
        <v>171537.73</v>
      </c>
      <c r="M190" s="110">
        <f t="shared" si="38"/>
        <v>21028.23000000004</v>
      </c>
      <c r="N190" s="213">
        <f t="shared" si="34"/>
        <v>21028.23000000004</v>
      </c>
      <c r="O190" s="214">
        <f t="shared" si="35"/>
        <v>90.514151028509545</v>
      </c>
      <c r="Q190">
        <v>183405.05999999997</v>
      </c>
    </row>
    <row r="191" spans="1:17" ht="12" customHeight="1" x14ac:dyDescent="0.2">
      <c r="A191" s="18"/>
      <c r="B191" s="211">
        <v>390</v>
      </c>
      <c r="C191" s="212" t="s">
        <v>332</v>
      </c>
      <c r="D191" s="209"/>
      <c r="E191" s="209">
        <v>65050</v>
      </c>
      <c r="F191" s="209">
        <f t="shared" si="33"/>
        <v>65050</v>
      </c>
      <c r="G191" s="213">
        <v>65050</v>
      </c>
      <c r="H191" s="213">
        <v>0</v>
      </c>
      <c r="I191" s="213">
        <f t="shared" si="32"/>
        <v>56087.840000000004</v>
      </c>
      <c r="J191" s="106">
        <f t="shared" si="37"/>
        <v>81601.84</v>
      </c>
      <c r="K191" s="213">
        <v>25514</v>
      </c>
      <c r="L191" s="213">
        <v>616.64</v>
      </c>
      <c r="M191" s="110">
        <f t="shared" si="38"/>
        <v>8962.1599999999962</v>
      </c>
      <c r="N191" s="213">
        <f>+F191-I191</f>
        <v>8962.1599999999962</v>
      </c>
      <c r="O191" s="214">
        <f t="shared" si="35"/>
        <v>86.222659492697929</v>
      </c>
      <c r="Q191">
        <v>56087.840000000004</v>
      </c>
    </row>
    <row r="192" spans="1:17" ht="13.5" hidden="1" x14ac:dyDescent="0.25">
      <c r="A192" s="18"/>
      <c r="B192" s="222"/>
      <c r="C192" s="223"/>
      <c r="D192" s="224"/>
      <c r="E192" s="224"/>
      <c r="F192" s="224"/>
      <c r="G192" s="225"/>
      <c r="H192" s="226"/>
      <c r="I192" s="207">
        <f t="shared" ref="I192" si="39">+Q192+H192</f>
        <v>0</v>
      </c>
      <c r="J192" s="207"/>
      <c r="K192" s="226"/>
      <c r="L192" s="226"/>
      <c r="M192" s="225"/>
      <c r="N192" s="225"/>
      <c r="O192" s="227"/>
    </row>
    <row r="193" spans="1:18" hidden="1" x14ac:dyDescent="0.2">
      <c r="A193" s="18"/>
      <c r="B193" s="222"/>
      <c r="C193" s="223"/>
      <c r="D193" s="224"/>
      <c r="E193" s="224"/>
      <c r="F193" s="224"/>
      <c r="G193" s="225"/>
      <c r="H193" s="226"/>
      <c r="I193" s="226"/>
      <c r="J193" s="226"/>
      <c r="K193" s="226"/>
      <c r="L193" s="226"/>
      <c r="M193" s="226"/>
      <c r="N193" s="226"/>
      <c r="O193" s="227"/>
    </row>
    <row r="194" spans="1:18" hidden="1" x14ac:dyDescent="0.2">
      <c r="B194" s="88" t="s">
        <v>402</v>
      </c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</row>
    <row r="195" spans="1:18" hidden="1" x14ac:dyDescent="0.2">
      <c r="B195" s="88" t="s">
        <v>403</v>
      </c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</row>
    <row r="196" spans="1:18" hidden="1" x14ac:dyDescent="0.2">
      <c r="A196" s="19"/>
      <c r="B196" s="228" t="s">
        <v>42</v>
      </c>
      <c r="C196" s="228"/>
      <c r="D196" s="229" t="s">
        <v>17</v>
      </c>
      <c r="E196" s="229"/>
      <c r="F196" s="229"/>
      <c r="G196" s="229"/>
      <c r="H196" s="229" t="s">
        <v>43</v>
      </c>
      <c r="I196" s="229"/>
      <c r="J196" s="94" t="s">
        <v>398</v>
      </c>
      <c r="K196" s="94"/>
      <c r="L196" s="229" t="s">
        <v>44</v>
      </c>
      <c r="M196" s="229" t="s">
        <v>14</v>
      </c>
      <c r="N196" s="229"/>
      <c r="O196" s="230" t="s">
        <v>45</v>
      </c>
    </row>
    <row r="197" spans="1:18" hidden="1" x14ac:dyDescent="0.2">
      <c r="A197" s="19"/>
      <c r="B197" s="228"/>
      <c r="C197" s="228"/>
      <c r="D197" s="229"/>
      <c r="E197" s="229"/>
      <c r="F197" s="229"/>
      <c r="G197" s="229"/>
      <c r="H197" s="229"/>
      <c r="I197" s="229"/>
      <c r="J197" s="96"/>
      <c r="K197" s="96"/>
      <c r="L197" s="229"/>
      <c r="M197" s="229"/>
      <c r="N197" s="229"/>
      <c r="O197" s="230"/>
    </row>
    <row r="198" spans="1:18" hidden="1" x14ac:dyDescent="0.2">
      <c r="A198" s="19"/>
      <c r="B198" s="228"/>
      <c r="C198" s="228"/>
      <c r="D198" s="231" t="s">
        <v>46</v>
      </c>
      <c r="E198" s="231" t="s">
        <v>47</v>
      </c>
      <c r="F198" s="231" t="s">
        <v>48</v>
      </c>
      <c r="G198" s="231" t="s">
        <v>1</v>
      </c>
      <c r="H198" s="231" t="s">
        <v>18</v>
      </c>
      <c r="I198" s="232" t="s">
        <v>49</v>
      </c>
      <c r="J198" s="100"/>
      <c r="K198" s="101" t="s">
        <v>396</v>
      </c>
      <c r="L198" s="229"/>
      <c r="M198" s="233" t="s">
        <v>50</v>
      </c>
      <c r="N198" s="231" t="s">
        <v>16</v>
      </c>
      <c r="O198" s="230"/>
    </row>
    <row r="199" spans="1:18" ht="12.75" customHeight="1" x14ac:dyDescent="0.2">
      <c r="B199" s="211">
        <v>4</v>
      </c>
      <c r="C199" s="190" t="s">
        <v>266</v>
      </c>
      <c r="D199" s="151">
        <f>SUM(D200)</f>
        <v>1300000</v>
      </c>
      <c r="E199" s="151">
        <f>+E200+E202</f>
        <v>348138</v>
      </c>
      <c r="F199" s="151">
        <f t="shared" si="33"/>
        <v>1648138</v>
      </c>
      <c r="G199" s="152">
        <f>+G200+G202</f>
        <v>1648138</v>
      </c>
      <c r="H199" s="234">
        <f>+H200+H202</f>
        <v>78802.78</v>
      </c>
      <c r="I199" s="191">
        <f>+I200+I202</f>
        <v>1510111.07</v>
      </c>
      <c r="J199" s="106">
        <f t="shared" ref="J199:J229" si="40">+I199+K199</f>
        <v>1928107.07</v>
      </c>
      <c r="K199" s="234">
        <f>+K200+K202</f>
        <v>417996</v>
      </c>
      <c r="L199" s="151">
        <f>+L200+L202</f>
        <v>1172190.52</v>
      </c>
      <c r="M199" s="110">
        <f t="shared" ref="M199:M231" si="41">+G199-I199</f>
        <v>138026.92999999993</v>
      </c>
      <c r="N199" s="155">
        <f t="shared" si="34"/>
        <v>138026.92999999993</v>
      </c>
      <c r="O199" s="156">
        <f t="shared" si="35"/>
        <v>91.625280771391715</v>
      </c>
      <c r="Q199">
        <v>1455193.55</v>
      </c>
    </row>
    <row r="200" spans="1:18" x14ac:dyDescent="0.2">
      <c r="B200" s="211">
        <v>430</v>
      </c>
      <c r="C200" s="190" t="s">
        <v>267</v>
      </c>
      <c r="D200" s="151">
        <f>SUM(D201)</f>
        <v>1300000</v>
      </c>
      <c r="E200" s="190">
        <f>SUM(E201)</f>
        <v>348138</v>
      </c>
      <c r="F200" s="151">
        <f t="shared" si="33"/>
        <v>1648138</v>
      </c>
      <c r="G200" s="152">
        <f>+G201</f>
        <v>1648138</v>
      </c>
      <c r="H200" s="235">
        <f>+H201</f>
        <v>78802.78</v>
      </c>
      <c r="I200" s="191">
        <f>+I201</f>
        <v>1510111.07</v>
      </c>
      <c r="J200" s="106">
        <f t="shared" si="40"/>
        <v>1928107.07</v>
      </c>
      <c r="K200" s="235">
        <f>+K201</f>
        <v>417996</v>
      </c>
      <c r="L200" s="151">
        <f>+L201</f>
        <v>1172190.52</v>
      </c>
      <c r="M200" s="110">
        <f t="shared" si="41"/>
        <v>138026.92999999993</v>
      </c>
      <c r="N200" s="155">
        <f t="shared" si="34"/>
        <v>138026.92999999993</v>
      </c>
      <c r="O200" s="156">
        <f t="shared" si="35"/>
        <v>91.625280771391715</v>
      </c>
      <c r="Q200">
        <v>1455193.55</v>
      </c>
    </row>
    <row r="201" spans="1:18" ht="13.5" customHeight="1" x14ac:dyDescent="0.25">
      <c r="B201" s="183">
        <v>439</v>
      </c>
      <c r="C201" s="181" t="s">
        <v>268</v>
      </c>
      <c r="D201" s="159">
        <v>1300000</v>
      </c>
      <c r="E201" s="159">
        <v>348138</v>
      </c>
      <c r="F201" s="159">
        <f t="shared" si="33"/>
        <v>1648138</v>
      </c>
      <c r="G201" s="160">
        <v>1648138</v>
      </c>
      <c r="H201" s="236">
        <v>78802.78</v>
      </c>
      <c r="I201" s="162">
        <f t="shared" ref="I201:I229" si="42">+Q201+H201</f>
        <v>1510111.07</v>
      </c>
      <c r="J201" s="109">
        <f t="shared" si="40"/>
        <v>1928107.07</v>
      </c>
      <c r="K201" s="236">
        <v>417996</v>
      </c>
      <c r="L201" s="159">
        <v>1172190.52</v>
      </c>
      <c r="M201" s="115">
        <f t="shared" si="41"/>
        <v>138026.92999999993</v>
      </c>
      <c r="N201" s="163">
        <f t="shared" si="34"/>
        <v>138026.92999999993</v>
      </c>
      <c r="O201" s="164">
        <f t="shared" si="35"/>
        <v>91.625280771391715</v>
      </c>
      <c r="Q201">
        <f>1455193.55-23885.26</f>
        <v>1431308.29</v>
      </c>
    </row>
    <row r="202" spans="1:18" ht="15" hidden="1" customHeight="1" x14ac:dyDescent="0.25">
      <c r="B202" s="211">
        <v>490</v>
      </c>
      <c r="C202" s="190" t="s">
        <v>269</v>
      </c>
      <c r="D202" s="159">
        <f>SUM(D203)</f>
        <v>0</v>
      </c>
      <c r="E202" s="151">
        <f>+E203</f>
        <v>0</v>
      </c>
      <c r="F202" s="151">
        <f t="shared" si="33"/>
        <v>0</v>
      </c>
      <c r="G202" s="152">
        <f>+G203</f>
        <v>0</v>
      </c>
      <c r="H202" s="153">
        <f>+H203</f>
        <v>0</v>
      </c>
      <c r="I202" s="154">
        <f>+I203</f>
        <v>0</v>
      </c>
      <c r="J202" s="109">
        <f t="shared" si="40"/>
        <v>0</v>
      </c>
      <c r="K202" s="153">
        <f>+K203</f>
        <v>0</v>
      </c>
      <c r="L202" s="151">
        <f>+L203</f>
        <v>0</v>
      </c>
      <c r="M202" s="115">
        <f t="shared" si="41"/>
        <v>0</v>
      </c>
      <c r="N202" s="155">
        <f t="shared" si="34"/>
        <v>0</v>
      </c>
      <c r="O202" s="156">
        <v>0</v>
      </c>
      <c r="Q202">
        <v>0</v>
      </c>
    </row>
    <row r="203" spans="1:18" ht="14.25" hidden="1" customHeight="1" x14ac:dyDescent="0.25">
      <c r="B203" s="183">
        <v>494</v>
      </c>
      <c r="C203" s="181" t="s">
        <v>270</v>
      </c>
      <c r="D203" s="159"/>
      <c r="E203" s="159">
        <v>0</v>
      </c>
      <c r="F203" s="159">
        <f t="shared" si="33"/>
        <v>0</v>
      </c>
      <c r="G203" s="165">
        <v>0</v>
      </c>
      <c r="H203" s="237">
        <v>0</v>
      </c>
      <c r="I203" s="162">
        <f t="shared" si="42"/>
        <v>0</v>
      </c>
      <c r="J203" s="109">
        <f t="shared" si="40"/>
        <v>0</v>
      </c>
      <c r="K203" s="237">
        <v>0</v>
      </c>
      <c r="L203" s="163"/>
      <c r="M203" s="115">
        <f t="shared" si="41"/>
        <v>0</v>
      </c>
      <c r="N203" s="163">
        <f t="shared" si="34"/>
        <v>0</v>
      </c>
      <c r="O203" s="164">
        <v>0</v>
      </c>
      <c r="Q203">
        <v>0</v>
      </c>
    </row>
    <row r="204" spans="1:18" ht="4.5" customHeight="1" x14ac:dyDescent="0.25">
      <c r="B204" s="183"/>
      <c r="C204" s="181"/>
      <c r="D204" s="159"/>
      <c r="E204" s="159"/>
      <c r="F204" s="159"/>
      <c r="G204" s="165"/>
      <c r="H204" s="237"/>
      <c r="I204" s="162">
        <f t="shared" si="42"/>
        <v>0</v>
      </c>
      <c r="J204" s="109">
        <f t="shared" si="40"/>
        <v>0</v>
      </c>
      <c r="K204" s="237"/>
      <c r="L204" s="163">
        <v>0</v>
      </c>
      <c r="M204" s="115">
        <f t="shared" si="41"/>
        <v>0</v>
      </c>
      <c r="N204" s="163"/>
      <c r="O204" s="164"/>
      <c r="Q204">
        <v>0</v>
      </c>
    </row>
    <row r="205" spans="1:18" x14ac:dyDescent="0.2">
      <c r="B205" s="149" t="s">
        <v>271</v>
      </c>
      <c r="C205" s="150" t="s">
        <v>409</v>
      </c>
      <c r="D205" s="151">
        <f>+D206+D208+D217+D219+D214</f>
        <v>750000</v>
      </c>
      <c r="E205" s="151">
        <f>+E206+E208+E217+E219+E214+E224</f>
        <v>384700</v>
      </c>
      <c r="F205" s="151">
        <f>+F206+F208+F214+F217+F219</f>
        <v>1134700</v>
      </c>
      <c r="G205" s="151">
        <f>+G206+G208+G214+G217+G219</f>
        <v>1134700</v>
      </c>
      <c r="H205" s="235">
        <f>+H206+H208+H217+H219+H214+H224</f>
        <v>361782.57999999996</v>
      </c>
      <c r="I205" s="154">
        <f>+I206+I208+I217+I219+I214+I224</f>
        <v>953620.99</v>
      </c>
      <c r="J205" s="106">
        <f t="shared" si="40"/>
        <v>1027880.99</v>
      </c>
      <c r="K205" s="235">
        <f>+K206+K208+K217+K219+K214+K224</f>
        <v>74260</v>
      </c>
      <c r="L205" s="151">
        <f>+L206+L208+L217+L219+L214+L224</f>
        <v>905561.7899999998</v>
      </c>
      <c r="M205" s="110">
        <f t="shared" si="41"/>
        <v>181079.01</v>
      </c>
      <c r="N205" s="155">
        <f t="shared" si="34"/>
        <v>181079.01</v>
      </c>
      <c r="O205" s="156">
        <f t="shared" si="35"/>
        <v>84.041684145589144</v>
      </c>
      <c r="Q205">
        <v>581909</v>
      </c>
    </row>
    <row r="206" spans="1:18" x14ac:dyDescent="0.2">
      <c r="B206" s="149" t="s">
        <v>273</v>
      </c>
      <c r="C206" s="150" t="s">
        <v>274</v>
      </c>
      <c r="D206" s="151">
        <f>SUM(D207)</f>
        <v>120000</v>
      </c>
      <c r="E206" s="151">
        <f>SUM(E207)</f>
        <v>-67000</v>
      </c>
      <c r="F206" s="151">
        <f t="shared" si="33"/>
        <v>53000</v>
      </c>
      <c r="G206" s="152">
        <f>+G207</f>
        <v>53000</v>
      </c>
      <c r="H206" s="235">
        <f>+H207</f>
        <v>0</v>
      </c>
      <c r="I206" s="191">
        <f>SUM(I207)</f>
        <v>52191</v>
      </c>
      <c r="J206" s="106">
        <f t="shared" si="40"/>
        <v>52191</v>
      </c>
      <c r="K206" s="235">
        <f>+K207</f>
        <v>0</v>
      </c>
      <c r="L206" s="151">
        <f>+L207</f>
        <v>52191.58</v>
      </c>
      <c r="M206" s="110">
        <f t="shared" si="41"/>
        <v>809</v>
      </c>
      <c r="N206" s="155">
        <f t="shared" si="34"/>
        <v>809</v>
      </c>
      <c r="O206" s="156">
        <f t="shared" si="35"/>
        <v>98.473584905660374</v>
      </c>
      <c r="Q206">
        <v>52191</v>
      </c>
    </row>
    <row r="207" spans="1:18" ht="16.5" customHeight="1" x14ac:dyDescent="0.25">
      <c r="B207" s="157" t="s">
        <v>275</v>
      </c>
      <c r="C207" s="158" t="s">
        <v>274</v>
      </c>
      <c r="D207" s="159">
        <v>120000</v>
      </c>
      <c r="E207" s="159">
        <v>-67000</v>
      </c>
      <c r="F207" s="159">
        <f t="shared" si="33"/>
        <v>53000</v>
      </c>
      <c r="G207" s="160">
        <v>53000</v>
      </c>
      <c r="H207" s="236">
        <v>0</v>
      </c>
      <c r="I207" s="162">
        <f t="shared" si="42"/>
        <v>52191</v>
      </c>
      <c r="J207" s="109">
        <f t="shared" si="40"/>
        <v>52191</v>
      </c>
      <c r="K207" s="236"/>
      <c r="L207" s="159">
        <v>52191.58</v>
      </c>
      <c r="M207" s="115">
        <f t="shared" si="41"/>
        <v>809</v>
      </c>
      <c r="N207" s="163">
        <f t="shared" si="34"/>
        <v>809</v>
      </c>
      <c r="O207" s="164">
        <f t="shared" si="35"/>
        <v>98.473584905660374</v>
      </c>
      <c r="Q207">
        <v>52191</v>
      </c>
    </row>
    <row r="208" spans="1:18" x14ac:dyDescent="0.2">
      <c r="B208" s="189" t="s">
        <v>276</v>
      </c>
      <c r="C208" s="190" t="s">
        <v>129</v>
      </c>
      <c r="D208" s="151">
        <f>+D209+D211+D213+D212+D210</f>
        <v>230000</v>
      </c>
      <c r="E208" s="151">
        <f>+E209+E211+E213+E212+E210</f>
        <v>566000</v>
      </c>
      <c r="F208" s="151">
        <f>+F209+F212+F213</f>
        <v>796000</v>
      </c>
      <c r="G208" s="152">
        <f>+G209+G210+G212+G213</f>
        <v>796000</v>
      </c>
      <c r="H208" s="235">
        <f>SUM(H209:H213)</f>
        <v>354645.85</v>
      </c>
      <c r="I208" s="191">
        <f>SUM(I209:I213)</f>
        <v>746172.13</v>
      </c>
      <c r="J208" s="106">
        <f t="shared" si="40"/>
        <v>758622.13</v>
      </c>
      <c r="K208" s="235">
        <f>SUM(K209:K213)</f>
        <v>12450</v>
      </c>
      <c r="L208" s="151">
        <f>SUM(L209:L213)</f>
        <v>744976.07</v>
      </c>
      <c r="M208" s="110">
        <f t="shared" si="41"/>
        <v>49827.869999999995</v>
      </c>
      <c r="N208" s="155">
        <f t="shared" si="34"/>
        <v>49827.869999999995</v>
      </c>
      <c r="O208" s="156">
        <f t="shared" si="35"/>
        <v>93.740217336683415</v>
      </c>
      <c r="Q208">
        <v>391526.22</v>
      </c>
      <c r="R208" s="1"/>
    </row>
    <row r="209" spans="2:17" ht="13.5" x14ac:dyDescent="0.25">
      <c r="B209" s="183">
        <v>611</v>
      </c>
      <c r="C209" s="181" t="s">
        <v>309</v>
      </c>
      <c r="D209" s="159">
        <v>11000</v>
      </c>
      <c r="E209" s="159">
        <v>-4000</v>
      </c>
      <c r="F209" s="159">
        <f t="shared" si="33"/>
        <v>7000</v>
      </c>
      <c r="G209" s="165">
        <v>7000</v>
      </c>
      <c r="H209" s="237">
        <v>0</v>
      </c>
      <c r="I209" s="162">
        <f t="shared" si="42"/>
        <v>3998.85</v>
      </c>
      <c r="J209" s="109">
        <f t="shared" si="40"/>
        <v>3998.85</v>
      </c>
      <c r="K209" s="237"/>
      <c r="L209" s="163">
        <v>2802.6</v>
      </c>
      <c r="M209" s="115">
        <f t="shared" si="41"/>
        <v>3001.15</v>
      </c>
      <c r="N209" s="163">
        <f t="shared" si="34"/>
        <v>3001.15</v>
      </c>
      <c r="O209" s="164">
        <f t="shared" si="35"/>
        <v>57.126428571428569</v>
      </c>
      <c r="Q209">
        <v>3998.85</v>
      </c>
    </row>
    <row r="210" spans="2:17" ht="15.75" customHeight="1" x14ac:dyDescent="0.25">
      <c r="B210" s="183">
        <v>612</v>
      </c>
      <c r="C210" s="181" t="s">
        <v>358</v>
      </c>
      <c r="D210" s="159">
        <v>117500</v>
      </c>
      <c r="E210" s="159">
        <v>-117500</v>
      </c>
      <c r="F210" s="159">
        <f t="shared" si="33"/>
        <v>0</v>
      </c>
      <c r="G210" s="165">
        <v>0</v>
      </c>
      <c r="H210" s="237">
        <v>0</v>
      </c>
      <c r="I210" s="162">
        <f t="shared" si="42"/>
        <v>0</v>
      </c>
      <c r="J210" s="109">
        <f t="shared" si="40"/>
        <v>0</v>
      </c>
      <c r="K210" s="237">
        <v>0</v>
      </c>
      <c r="L210" s="163" t="s">
        <v>2</v>
      </c>
      <c r="M210" s="115">
        <f t="shared" si="41"/>
        <v>0</v>
      </c>
      <c r="N210" s="163">
        <f t="shared" ref="N210" si="43">+F210-I210</f>
        <v>0</v>
      </c>
      <c r="O210" s="164" t="s">
        <v>2</v>
      </c>
      <c r="Q210">
        <v>0</v>
      </c>
    </row>
    <row r="211" spans="2:17" ht="13.5" hidden="1" x14ac:dyDescent="0.25">
      <c r="B211" s="183">
        <v>613</v>
      </c>
      <c r="C211" s="181" t="s">
        <v>323</v>
      </c>
      <c r="D211" s="159">
        <v>0</v>
      </c>
      <c r="E211" s="159"/>
      <c r="F211" s="159">
        <f t="shared" si="33"/>
        <v>0</v>
      </c>
      <c r="G211" s="165">
        <v>0</v>
      </c>
      <c r="H211" s="237"/>
      <c r="I211" s="162">
        <f t="shared" si="42"/>
        <v>0</v>
      </c>
      <c r="J211" s="109">
        <f t="shared" si="40"/>
        <v>0</v>
      </c>
      <c r="K211" s="237"/>
      <c r="L211" s="163"/>
      <c r="M211" s="115">
        <f t="shared" si="41"/>
        <v>0</v>
      </c>
      <c r="N211" s="163">
        <f t="shared" si="34"/>
        <v>0</v>
      </c>
      <c r="O211" s="164">
        <v>0</v>
      </c>
      <c r="Q211">
        <v>0</v>
      </c>
    </row>
    <row r="212" spans="2:17" ht="13.5" x14ac:dyDescent="0.25">
      <c r="B212" s="183">
        <v>614</v>
      </c>
      <c r="C212" s="181" t="s">
        <v>322</v>
      </c>
      <c r="D212" s="159">
        <v>85000</v>
      </c>
      <c r="E212" s="159">
        <f>687500</f>
        <v>687500</v>
      </c>
      <c r="F212" s="159">
        <f>+D212+E212</f>
        <v>772500</v>
      </c>
      <c r="G212" s="165">
        <v>772500</v>
      </c>
      <c r="H212" s="237">
        <v>354645.85</v>
      </c>
      <c r="I212" s="162">
        <f t="shared" si="42"/>
        <v>731790.3</v>
      </c>
      <c r="J212" s="109">
        <f t="shared" si="40"/>
        <v>731790.3</v>
      </c>
      <c r="K212" s="237"/>
      <c r="L212" s="163">
        <v>731790.49</v>
      </c>
      <c r="M212" s="115">
        <f t="shared" si="41"/>
        <v>40709.699999999953</v>
      </c>
      <c r="N212" s="163">
        <f t="shared" si="34"/>
        <v>40709.699999999953</v>
      </c>
      <c r="O212" s="164">
        <f>+I212*100/G212</f>
        <v>94.730135922330092</v>
      </c>
      <c r="Q212">
        <v>377144.45</v>
      </c>
    </row>
    <row r="213" spans="2:17" ht="13.5" x14ac:dyDescent="0.25">
      <c r="B213" s="183">
        <v>619</v>
      </c>
      <c r="C213" s="181" t="s">
        <v>319</v>
      </c>
      <c r="D213" s="159">
        <v>16500</v>
      </c>
      <c r="E213" s="159"/>
      <c r="F213" s="159">
        <f>+D213+E213</f>
        <v>16500</v>
      </c>
      <c r="G213" s="165">
        <v>16500</v>
      </c>
      <c r="H213" s="237">
        <v>0</v>
      </c>
      <c r="I213" s="162">
        <f t="shared" si="42"/>
        <v>10382.98</v>
      </c>
      <c r="J213" s="109">
        <f t="shared" si="40"/>
        <v>22832.98</v>
      </c>
      <c r="K213" s="237">
        <v>12450</v>
      </c>
      <c r="L213" s="163">
        <v>10382.98</v>
      </c>
      <c r="M213" s="115">
        <f t="shared" si="41"/>
        <v>6117.02</v>
      </c>
      <c r="N213" s="163">
        <f t="shared" si="34"/>
        <v>6117.02</v>
      </c>
      <c r="O213" s="164">
        <f t="shared" si="35"/>
        <v>62.927151515151515</v>
      </c>
      <c r="Q213">
        <v>10382.98</v>
      </c>
    </row>
    <row r="214" spans="2:17" ht="13.5" customHeight="1" x14ac:dyDescent="0.2">
      <c r="B214" s="211">
        <v>620</v>
      </c>
      <c r="C214" s="190" t="s">
        <v>277</v>
      </c>
      <c r="D214" s="151">
        <f>+D215+D216</f>
        <v>257000</v>
      </c>
      <c r="E214" s="151">
        <f>+E215+E216</f>
        <v>-46800</v>
      </c>
      <c r="F214" s="151">
        <f t="shared" si="33"/>
        <v>210200</v>
      </c>
      <c r="G214" s="152">
        <f>+G215+G216</f>
        <v>210200</v>
      </c>
      <c r="H214" s="235">
        <f>+H216+H215</f>
        <v>4976.7299999999996</v>
      </c>
      <c r="I214" s="191">
        <f>+I216+I215</f>
        <v>148197.41</v>
      </c>
      <c r="J214" s="106">
        <f t="shared" si="40"/>
        <v>191841.41</v>
      </c>
      <c r="K214" s="235">
        <f>+K216+K215</f>
        <v>43644</v>
      </c>
      <c r="L214" s="151">
        <f>+L216+L215</f>
        <v>104493.69</v>
      </c>
      <c r="M214" s="110">
        <f t="shared" si="41"/>
        <v>62002.59</v>
      </c>
      <c r="N214" s="155">
        <f t="shared" si="34"/>
        <v>62002.59</v>
      </c>
      <c r="O214" s="156">
        <f t="shared" si="35"/>
        <v>70.503049476688872</v>
      </c>
      <c r="Q214">
        <v>133290.68</v>
      </c>
    </row>
    <row r="215" spans="2:17" ht="13.5" x14ac:dyDescent="0.25">
      <c r="B215" s="183" t="s">
        <v>306</v>
      </c>
      <c r="C215" s="181" t="s">
        <v>307</v>
      </c>
      <c r="D215" s="159">
        <v>111820</v>
      </c>
      <c r="E215" s="159">
        <v>-56500</v>
      </c>
      <c r="F215" s="159">
        <f t="shared" ref="F215:F230" si="44">+D215+E215</f>
        <v>55320</v>
      </c>
      <c r="G215" s="165">
        <v>55320</v>
      </c>
      <c r="H215" s="237">
        <v>0</v>
      </c>
      <c r="I215" s="162">
        <f t="shared" si="42"/>
        <v>16200</v>
      </c>
      <c r="J215" s="109">
        <f t="shared" si="40"/>
        <v>41200</v>
      </c>
      <c r="K215" s="237">
        <v>25000</v>
      </c>
      <c r="L215" s="163">
        <v>2100</v>
      </c>
      <c r="M215" s="115">
        <f t="shared" si="41"/>
        <v>39120</v>
      </c>
      <c r="N215" s="163">
        <f t="shared" si="34"/>
        <v>39120</v>
      </c>
      <c r="O215" s="164" t="s">
        <v>2</v>
      </c>
      <c r="Q215">
        <v>16200</v>
      </c>
    </row>
    <row r="216" spans="2:17" ht="13.5" x14ac:dyDescent="0.25">
      <c r="B216" s="183">
        <v>624</v>
      </c>
      <c r="C216" s="181" t="s">
        <v>278</v>
      </c>
      <c r="D216" s="159">
        <v>145180</v>
      </c>
      <c r="E216" s="159">
        <v>9700</v>
      </c>
      <c r="F216" s="159">
        <f t="shared" si="44"/>
        <v>154880</v>
      </c>
      <c r="G216" s="160">
        <v>154880</v>
      </c>
      <c r="H216" s="236">
        <v>4976.7299999999996</v>
      </c>
      <c r="I216" s="162">
        <f t="shared" si="42"/>
        <v>131997.41</v>
      </c>
      <c r="J216" s="109">
        <f t="shared" si="40"/>
        <v>150641.41</v>
      </c>
      <c r="K216" s="236">
        <v>18644</v>
      </c>
      <c r="L216" s="159">
        <v>102393.69</v>
      </c>
      <c r="M216" s="115">
        <f t="shared" si="41"/>
        <v>22882.589999999997</v>
      </c>
      <c r="N216" s="163">
        <f t="shared" si="34"/>
        <v>22882.589999999997</v>
      </c>
      <c r="O216" s="164">
        <f t="shared" si="35"/>
        <v>85.225600464876038</v>
      </c>
      <c r="Q216">
        <f>117090.23+9930.45</f>
        <v>127020.68</v>
      </c>
    </row>
    <row r="217" spans="2:17" ht="13.5" x14ac:dyDescent="0.25">
      <c r="B217" s="149" t="s">
        <v>279</v>
      </c>
      <c r="C217" s="150" t="s">
        <v>280</v>
      </c>
      <c r="D217" s="151">
        <f>SUM(D218)</f>
        <v>105000</v>
      </c>
      <c r="E217" s="151">
        <f>SUM(E218)</f>
        <v>-105000</v>
      </c>
      <c r="F217" s="151">
        <f t="shared" si="44"/>
        <v>0</v>
      </c>
      <c r="G217" s="152">
        <v>0</v>
      </c>
      <c r="H217" s="153"/>
      <c r="I217" s="154">
        <f>+I218</f>
        <v>0</v>
      </c>
      <c r="J217" s="109">
        <f t="shared" si="40"/>
        <v>0</v>
      </c>
      <c r="K217" s="153"/>
      <c r="L217" s="151">
        <v>0</v>
      </c>
      <c r="M217" s="115">
        <f t="shared" si="41"/>
        <v>0</v>
      </c>
      <c r="N217" s="155">
        <f t="shared" si="34"/>
        <v>0</v>
      </c>
      <c r="O217" s="156" t="s">
        <v>2</v>
      </c>
      <c r="Q217">
        <v>0</v>
      </c>
    </row>
    <row r="218" spans="2:17" ht="13.5" x14ac:dyDescent="0.25">
      <c r="B218" s="180" t="s">
        <v>281</v>
      </c>
      <c r="C218" s="181" t="s">
        <v>282</v>
      </c>
      <c r="D218" s="159">
        <v>105000</v>
      </c>
      <c r="E218" s="159">
        <v>-105000</v>
      </c>
      <c r="F218" s="159">
        <f t="shared" si="44"/>
        <v>0</v>
      </c>
      <c r="G218" s="165">
        <v>0</v>
      </c>
      <c r="H218" s="237">
        <v>0</v>
      </c>
      <c r="I218" s="162">
        <f t="shared" si="42"/>
        <v>0</v>
      </c>
      <c r="J218" s="109">
        <f t="shared" si="40"/>
        <v>0</v>
      </c>
      <c r="K218" s="237">
        <v>0</v>
      </c>
      <c r="L218" s="163">
        <v>0</v>
      </c>
      <c r="M218" s="115">
        <f t="shared" si="41"/>
        <v>0</v>
      </c>
      <c r="N218" s="163">
        <f t="shared" si="34"/>
        <v>0</v>
      </c>
      <c r="O218" s="164" t="s">
        <v>2</v>
      </c>
      <c r="Q218">
        <v>0</v>
      </c>
    </row>
    <row r="219" spans="2:17" x14ac:dyDescent="0.2">
      <c r="B219" s="149" t="s">
        <v>283</v>
      </c>
      <c r="C219" s="150" t="s">
        <v>284</v>
      </c>
      <c r="D219" s="151">
        <f>SUM(D220:D223)</f>
        <v>38000</v>
      </c>
      <c r="E219" s="151">
        <f>SUM(E220:E223)</f>
        <v>37500</v>
      </c>
      <c r="F219" s="151">
        <f t="shared" si="44"/>
        <v>75500</v>
      </c>
      <c r="G219" s="238">
        <f>+G221+G223+G222</f>
        <v>75500</v>
      </c>
      <c r="H219" s="239">
        <f>SUM(H221:H223)</f>
        <v>2160</v>
      </c>
      <c r="I219" s="240">
        <f>SUM(I221:I223)</f>
        <v>7060.45</v>
      </c>
      <c r="J219" s="106">
        <f t="shared" si="40"/>
        <v>25226.45</v>
      </c>
      <c r="K219" s="240">
        <f>SUM(K221:K223)</f>
        <v>18166</v>
      </c>
      <c r="L219" s="238">
        <f>SUM(L221:L223)</f>
        <v>3900.45</v>
      </c>
      <c r="M219" s="110">
        <f t="shared" si="41"/>
        <v>68439.55</v>
      </c>
      <c r="N219" s="155">
        <f t="shared" si="34"/>
        <v>68439.55</v>
      </c>
      <c r="O219" s="156">
        <f t="shared" si="35"/>
        <v>9.3515894039735095</v>
      </c>
      <c r="Q219">
        <v>4900.8999999999996</v>
      </c>
    </row>
    <row r="220" spans="2:17" ht="13.5" hidden="1" x14ac:dyDescent="0.25">
      <c r="B220" s="157" t="s">
        <v>285</v>
      </c>
      <c r="C220" s="158" t="s">
        <v>286</v>
      </c>
      <c r="D220" s="159">
        <v>0</v>
      </c>
      <c r="E220" s="159">
        <v>0</v>
      </c>
      <c r="F220" s="159">
        <f t="shared" si="44"/>
        <v>0</v>
      </c>
      <c r="G220" s="165">
        <v>0</v>
      </c>
      <c r="H220" s="237"/>
      <c r="I220" s="162">
        <f t="shared" si="42"/>
        <v>0</v>
      </c>
      <c r="J220" s="109">
        <f t="shared" si="40"/>
        <v>0</v>
      </c>
      <c r="K220" s="237"/>
      <c r="L220" s="163"/>
      <c r="M220" s="115">
        <f t="shared" si="41"/>
        <v>0</v>
      </c>
      <c r="N220" s="163">
        <f t="shared" si="34"/>
        <v>0</v>
      </c>
      <c r="O220" s="164" t="e">
        <f t="shared" si="35"/>
        <v>#DIV/0!</v>
      </c>
      <c r="Q220">
        <v>0</v>
      </c>
    </row>
    <row r="221" spans="2:17" ht="13.5" x14ac:dyDescent="0.25">
      <c r="B221" s="157">
        <v>662</v>
      </c>
      <c r="C221" s="158" t="s">
        <v>287</v>
      </c>
      <c r="D221" s="159">
        <v>24039</v>
      </c>
      <c r="E221" s="159">
        <v>31500</v>
      </c>
      <c r="F221" s="159">
        <f t="shared" si="44"/>
        <v>55539</v>
      </c>
      <c r="G221" s="165">
        <v>55539</v>
      </c>
      <c r="H221" s="237">
        <v>0</v>
      </c>
      <c r="I221" s="162">
        <f t="shared" si="42"/>
        <v>3000</v>
      </c>
      <c r="J221" s="109">
        <f t="shared" si="40"/>
        <v>15500</v>
      </c>
      <c r="K221" s="237">
        <v>12500</v>
      </c>
      <c r="L221" s="163">
        <v>3000</v>
      </c>
      <c r="M221" s="115">
        <f t="shared" si="41"/>
        <v>52539</v>
      </c>
      <c r="N221" s="163">
        <f t="shared" si="34"/>
        <v>52539</v>
      </c>
      <c r="O221" s="164">
        <f t="shared" si="35"/>
        <v>5.4016096796845456</v>
      </c>
      <c r="Q221">
        <v>3000</v>
      </c>
    </row>
    <row r="222" spans="2:17" ht="15" customHeight="1" x14ac:dyDescent="0.25">
      <c r="B222" s="157" t="s">
        <v>288</v>
      </c>
      <c r="C222" s="158" t="s">
        <v>289</v>
      </c>
      <c r="D222" s="159"/>
      <c r="E222" s="159">
        <v>6000</v>
      </c>
      <c r="F222" s="159">
        <f t="shared" si="44"/>
        <v>6000</v>
      </c>
      <c r="G222" s="165">
        <v>6000</v>
      </c>
      <c r="H222" s="237">
        <v>2160</v>
      </c>
      <c r="I222" s="162">
        <f t="shared" si="42"/>
        <v>3160.45</v>
      </c>
      <c r="J222" s="109">
        <f t="shared" si="40"/>
        <v>7645.45</v>
      </c>
      <c r="K222" s="237">
        <v>4485</v>
      </c>
      <c r="L222" s="163"/>
      <c r="M222" s="115">
        <f t="shared" si="41"/>
        <v>2839.55</v>
      </c>
      <c r="N222" s="163">
        <f t="shared" si="34"/>
        <v>2839.55</v>
      </c>
      <c r="O222" s="164">
        <f t="shared" si="35"/>
        <v>52.674166666666665</v>
      </c>
      <c r="Q222">
        <v>1000.45</v>
      </c>
    </row>
    <row r="223" spans="2:17" ht="13.5" x14ac:dyDescent="0.25">
      <c r="B223" s="157" t="s">
        <v>290</v>
      </c>
      <c r="C223" s="158" t="s">
        <v>291</v>
      </c>
      <c r="D223" s="159">
        <v>13961</v>
      </c>
      <c r="E223" s="159"/>
      <c r="F223" s="159">
        <f t="shared" si="44"/>
        <v>13961</v>
      </c>
      <c r="G223" s="165">
        <v>13961</v>
      </c>
      <c r="H223" s="237">
        <v>0</v>
      </c>
      <c r="I223" s="162">
        <f t="shared" si="42"/>
        <v>900</v>
      </c>
      <c r="J223" s="109">
        <f t="shared" si="40"/>
        <v>2081</v>
      </c>
      <c r="K223" s="237">
        <v>1181</v>
      </c>
      <c r="L223" s="163">
        <v>900.45</v>
      </c>
      <c r="M223" s="115">
        <f t="shared" si="41"/>
        <v>13061</v>
      </c>
      <c r="N223" s="163">
        <f t="shared" si="34"/>
        <v>13061</v>
      </c>
      <c r="O223" s="164">
        <f t="shared" si="35"/>
        <v>6.4465296182221907</v>
      </c>
      <c r="Q223">
        <v>900</v>
      </c>
    </row>
    <row r="224" spans="2:17" ht="21" hidden="1" customHeight="1" x14ac:dyDescent="0.25">
      <c r="B224" s="241">
        <v>690</v>
      </c>
      <c r="C224" s="155" t="s">
        <v>312</v>
      </c>
      <c r="D224" s="155">
        <f>+D225</f>
        <v>0</v>
      </c>
      <c r="E224" s="155">
        <f>+E225+E226</f>
        <v>0</v>
      </c>
      <c r="F224" s="151">
        <f t="shared" si="44"/>
        <v>0</v>
      </c>
      <c r="G224" s="238">
        <v>0</v>
      </c>
      <c r="H224" s="239">
        <f>+H225+H226</f>
        <v>0</v>
      </c>
      <c r="I224" s="191">
        <f t="shared" si="42"/>
        <v>0</v>
      </c>
      <c r="J224" s="109">
        <f t="shared" si="40"/>
        <v>0</v>
      </c>
      <c r="K224" s="239">
        <f>+K225+K226</f>
        <v>0</v>
      </c>
      <c r="L224" s="155">
        <f>+L225</f>
        <v>0</v>
      </c>
      <c r="M224" s="115">
        <f t="shared" si="41"/>
        <v>0</v>
      </c>
      <c r="N224" s="155">
        <f t="shared" si="34"/>
        <v>0</v>
      </c>
      <c r="O224" s="164" t="e">
        <f t="shared" si="35"/>
        <v>#DIV/0!</v>
      </c>
      <c r="Q224">
        <v>0</v>
      </c>
    </row>
    <row r="225" spans="1:17" ht="15" hidden="1" customHeight="1" x14ac:dyDescent="0.25">
      <c r="B225" s="220">
        <v>693</v>
      </c>
      <c r="C225" s="242" t="s">
        <v>354</v>
      </c>
      <c r="D225" s="163"/>
      <c r="E225" s="163"/>
      <c r="F225" s="159">
        <f t="shared" si="44"/>
        <v>0</v>
      </c>
      <c r="G225" s="165">
        <v>0</v>
      </c>
      <c r="H225" s="237">
        <v>0</v>
      </c>
      <c r="I225" s="162">
        <f t="shared" si="42"/>
        <v>0</v>
      </c>
      <c r="J225" s="109">
        <f t="shared" si="40"/>
        <v>0</v>
      </c>
      <c r="K225" s="237">
        <v>0</v>
      </c>
      <c r="L225" s="163">
        <v>0</v>
      </c>
      <c r="M225" s="115">
        <f t="shared" si="41"/>
        <v>0</v>
      </c>
      <c r="N225" s="163">
        <f t="shared" si="34"/>
        <v>0</v>
      </c>
      <c r="O225" s="164" t="e">
        <f t="shared" si="35"/>
        <v>#DIV/0!</v>
      </c>
      <c r="Q225">
        <v>0</v>
      </c>
    </row>
    <row r="226" spans="1:17" ht="0.75" customHeight="1" x14ac:dyDescent="0.25">
      <c r="B226" s="220">
        <v>697</v>
      </c>
      <c r="C226" s="242" t="s">
        <v>326</v>
      </c>
      <c r="D226" s="163"/>
      <c r="E226" s="163"/>
      <c r="F226" s="159">
        <f t="shared" si="44"/>
        <v>0</v>
      </c>
      <c r="G226" s="165">
        <v>8000</v>
      </c>
      <c r="H226" s="237">
        <v>0</v>
      </c>
      <c r="I226" s="162" t="s">
        <v>2</v>
      </c>
      <c r="J226" s="109" t="e">
        <f t="shared" si="40"/>
        <v>#VALUE!</v>
      </c>
      <c r="K226" s="237">
        <v>0</v>
      </c>
      <c r="L226" s="163"/>
      <c r="M226" s="115" t="e">
        <f t="shared" si="41"/>
        <v>#VALUE!</v>
      </c>
      <c r="N226" s="163" t="e">
        <f t="shared" si="34"/>
        <v>#VALUE!</v>
      </c>
      <c r="O226" s="164" t="e">
        <f t="shared" si="35"/>
        <v>#VALUE!</v>
      </c>
      <c r="Q226" t="s">
        <v>2</v>
      </c>
    </row>
    <row r="227" spans="1:17" ht="17.25" customHeight="1" x14ac:dyDescent="0.25">
      <c r="B227" s="241">
        <v>8</v>
      </c>
      <c r="C227" s="155" t="s">
        <v>316</v>
      </c>
      <c r="D227" s="155">
        <f>SUM(D229:D230)</f>
        <v>10000</v>
      </c>
      <c r="E227" s="155">
        <f>SUM(E228:E230)</f>
        <v>-10000</v>
      </c>
      <c r="F227" s="155">
        <f>SUM(F228:F230)</f>
        <v>0</v>
      </c>
      <c r="G227" s="243">
        <f>+G229</f>
        <v>0</v>
      </c>
      <c r="H227" s="244">
        <f>SUM(H228:H230)</f>
        <v>0</v>
      </c>
      <c r="I227" s="191">
        <f>+H227+Q227</f>
        <v>0</v>
      </c>
      <c r="J227" s="109">
        <f t="shared" si="40"/>
        <v>0</v>
      </c>
      <c r="K227" s="244">
        <f>SUM(K228:K230)</f>
        <v>0</v>
      </c>
      <c r="L227" s="155">
        <f>SUM(L228:L230)</f>
        <v>0</v>
      </c>
      <c r="M227" s="115">
        <f t="shared" si="41"/>
        <v>0</v>
      </c>
      <c r="N227" s="155">
        <f t="shared" si="34"/>
        <v>0</v>
      </c>
      <c r="O227" s="156">
        <v>0</v>
      </c>
      <c r="Q227">
        <v>0</v>
      </c>
    </row>
    <row r="228" spans="1:17" ht="1.5" customHeight="1" x14ac:dyDescent="0.25">
      <c r="B228" s="220">
        <v>805</v>
      </c>
      <c r="C228" s="163" t="s">
        <v>333</v>
      </c>
      <c r="D228" s="155"/>
      <c r="E228" s="163"/>
      <c r="F228" s="159">
        <f t="shared" si="44"/>
        <v>0</v>
      </c>
      <c r="G228" s="245">
        <v>0</v>
      </c>
      <c r="H228" s="237">
        <v>0</v>
      </c>
      <c r="I228" s="162">
        <f t="shared" si="42"/>
        <v>0</v>
      </c>
      <c r="J228" s="109">
        <f t="shared" si="40"/>
        <v>0</v>
      </c>
      <c r="K228" s="237">
        <v>0</v>
      </c>
      <c r="L228" s="163"/>
      <c r="M228" s="115">
        <f t="shared" si="41"/>
        <v>0</v>
      </c>
      <c r="N228" s="163">
        <f>+F228-I228</f>
        <v>0</v>
      </c>
      <c r="O228" s="164">
        <v>0</v>
      </c>
      <c r="Q228">
        <v>0</v>
      </c>
    </row>
    <row r="229" spans="1:17" ht="20.25" customHeight="1" x14ac:dyDescent="0.25">
      <c r="B229" s="220">
        <v>806</v>
      </c>
      <c r="C229" s="163" t="s">
        <v>324</v>
      </c>
      <c r="D229" s="163">
        <v>10000</v>
      </c>
      <c r="E229" s="163">
        <v>-10000</v>
      </c>
      <c r="F229" s="159">
        <f t="shared" si="44"/>
        <v>0</v>
      </c>
      <c r="G229" s="245">
        <v>0</v>
      </c>
      <c r="H229" s="237"/>
      <c r="I229" s="162">
        <f t="shared" si="42"/>
        <v>0</v>
      </c>
      <c r="J229" s="109">
        <f t="shared" si="40"/>
        <v>0</v>
      </c>
      <c r="K229" s="237"/>
      <c r="L229" s="163"/>
      <c r="M229" s="115">
        <f t="shared" si="41"/>
        <v>0</v>
      </c>
      <c r="N229" s="163">
        <f t="shared" si="34"/>
        <v>0</v>
      </c>
      <c r="O229" s="156">
        <v>0</v>
      </c>
      <c r="Q229">
        <v>0</v>
      </c>
    </row>
    <row r="230" spans="1:17" ht="21" hidden="1" customHeight="1" x14ac:dyDescent="0.25">
      <c r="B230" s="220">
        <v>809</v>
      </c>
      <c r="C230" s="163" t="s">
        <v>317</v>
      </c>
      <c r="D230" s="163"/>
      <c r="E230" s="163"/>
      <c r="F230" s="159">
        <f t="shared" si="44"/>
        <v>0</v>
      </c>
      <c r="G230" s="245">
        <v>0</v>
      </c>
      <c r="H230" s="237">
        <v>0</v>
      </c>
      <c r="I230" s="162">
        <f>+H230+Q230</f>
        <v>0</v>
      </c>
      <c r="J230" s="207"/>
      <c r="K230" s="237">
        <v>0</v>
      </c>
      <c r="L230" s="163"/>
      <c r="M230" s="115">
        <f t="shared" si="41"/>
        <v>0</v>
      </c>
      <c r="N230" s="163">
        <f t="shared" si="34"/>
        <v>0</v>
      </c>
      <c r="O230" s="164" t="e">
        <f t="shared" si="35"/>
        <v>#DIV/0!</v>
      </c>
      <c r="Q230">
        <v>0</v>
      </c>
    </row>
    <row r="231" spans="1:17" ht="24" customHeight="1" x14ac:dyDescent="0.25">
      <c r="A231" s="20"/>
      <c r="B231" s="246" t="s">
        <v>2</v>
      </c>
      <c r="C231" s="247" t="s">
        <v>292</v>
      </c>
      <c r="D231" s="248">
        <f t="shared" ref="D231:L231" si="45">+D227+D205+D199+D172+D100+D36+D9</f>
        <v>101690300</v>
      </c>
      <c r="E231" s="248">
        <f t="shared" si="45"/>
        <v>-6551071</v>
      </c>
      <c r="F231" s="248">
        <f t="shared" si="45"/>
        <v>95139229</v>
      </c>
      <c r="G231" s="248">
        <f t="shared" si="45"/>
        <v>95139229</v>
      </c>
      <c r="H231" s="249">
        <f t="shared" si="45"/>
        <v>8590952.7799999993</v>
      </c>
      <c r="I231" s="248">
        <f t="shared" si="45"/>
        <v>90133753.673000008</v>
      </c>
      <c r="J231" s="248">
        <f t="shared" si="45"/>
        <v>92583671.583000019</v>
      </c>
      <c r="K231" s="249">
        <f t="shared" si="45"/>
        <v>2449917.91</v>
      </c>
      <c r="L231" s="249">
        <f t="shared" si="45"/>
        <v>86788678.615999997</v>
      </c>
      <c r="M231" s="250">
        <f t="shared" si="41"/>
        <v>5005475.3269999921</v>
      </c>
      <c r="N231" s="251">
        <f t="shared" si="34"/>
        <v>5005475.3269999921</v>
      </c>
      <c r="O231" s="252">
        <f>+I231*100/G231</f>
        <v>94.738789267464014</v>
      </c>
      <c r="Q231" s="21">
        <v>90575810.203000009</v>
      </c>
    </row>
    <row r="234" spans="1:17" x14ac:dyDescent="0.2">
      <c r="L234" s="254"/>
    </row>
    <row r="236" spans="1:17" x14ac:dyDescent="0.2">
      <c r="F236" s="254"/>
      <c r="K236" s="254"/>
    </row>
  </sheetData>
  <mergeCells count="37">
    <mergeCell ref="B1:O1"/>
    <mergeCell ref="B194:O194"/>
    <mergeCell ref="B195:O195"/>
    <mergeCell ref="B118:O118"/>
    <mergeCell ref="B119:O119"/>
    <mergeCell ref="B120:C122"/>
    <mergeCell ref="D120:G121"/>
    <mergeCell ref="H120:I121"/>
    <mergeCell ref="L120:L122"/>
    <mergeCell ref="M120:N121"/>
    <mergeCell ref="O120:O122"/>
    <mergeCell ref="O196:O198"/>
    <mergeCell ref="B196:C198"/>
    <mergeCell ref="D196:G197"/>
    <mergeCell ref="H196:I197"/>
    <mergeCell ref="L196:L198"/>
    <mergeCell ref="M196:N197"/>
    <mergeCell ref="J196:K197"/>
    <mergeCell ref="B2:O2"/>
    <mergeCell ref="B3:O3"/>
    <mergeCell ref="B6:C8"/>
    <mergeCell ref="D6:G7"/>
    <mergeCell ref="H6:I7"/>
    <mergeCell ref="L6:L8"/>
    <mergeCell ref="M6:N7"/>
    <mergeCell ref="O6:O8"/>
    <mergeCell ref="J6:K7"/>
    <mergeCell ref="J120:K121"/>
    <mergeCell ref="B57:O57"/>
    <mergeCell ref="B58:O58"/>
    <mergeCell ref="B61:C63"/>
    <mergeCell ref="D61:G62"/>
    <mergeCell ref="H61:I62"/>
    <mergeCell ref="L61:L63"/>
    <mergeCell ref="M61:N62"/>
    <mergeCell ref="O61:O63"/>
    <mergeCell ref="J61:K62"/>
  </mergeCells>
  <pageMargins left="0.31496062992125984" right="0.31496062992125984" top="0.55118110236220474" bottom="0.55118110236220474" header="0.31496062992125984" footer="0.31496062992125984"/>
  <pageSetup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6" tint="0.39997558519241921"/>
  </sheetPr>
  <dimension ref="A1:U444"/>
  <sheetViews>
    <sheetView showGridLines="0" showZeros="0" topLeftCell="A31" workbookViewId="0">
      <selection activeCell="Q9" sqref="Q9"/>
    </sheetView>
  </sheetViews>
  <sheetFormatPr baseColWidth="10" defaultColWidth="11.42578125" defaultRowHeight="13.5" x14ac:dyDescent="0.25"/>
  <cols>
    <col min="1" max="1" width="4.42578125" style="80" customWidth="1"/>
    <col min="2" max="2" width="43" style="80" customWidth="1"/>
    <col min="3" max="3" width="14.7109375" style="80" hidden="1" customWidth="1"/>
    <col min="4" max="4" width="12.7109375" style="80" hidden="1" customWidth="1"/>
    <col min="5" max="5" width="15.85546875" style="80" customWidth="1"/>
    <col min="6" max="6" width="13.42578125" style="80" hidden="1" customWidth="1"/>
    <col min="7" max="7" width="12.7109375" style="81" hidden="1" customWidth="1"/>
    <col min="8" max="8" width="16.28515625" style="81" hidden="1" customWidth="1"/>
    <col min="9" max="9" width="16.42578125" style="80" hidden="1" customWidth="1"/>
    <col min="10" max="10" width="17" style="80" hidden="1" customWidth="1"/>
    <col min="11" max="11" width="14" style="80" customWidth="1"/>
    <col min="12" max="12" width="13.7109375" style="80" customWidth="1"/>
    <col min="13" max="13" width="11.28515625" hidden="1" customWidth="1"/>
    <col min="14" max="14" width="7" style="14" hidden="1" customWidth="1"/>
    <col min="15" max="15" width="8.42578125" customWidth="1"/>
    <col min="16" max="16" width="9.28515625" customWidth="1"/>
  </cols>
  <sheetData>
    <row r="1" spans="1:16" x14ac:dyDescent="0.25">
      <c r="A1" s="43" t="s">
        <v>350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6" ht="12.75" x14ac:dyDescent="0.2">
      <c r="A2" s="88" t="s">
        <v>413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6" ht="12.75" x14ac:dyDescent="0.2">
      <c r="A3" s="88" t="s">
        <v>411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6" ht="2.25" customHeight="1" x14ac:dyDescent="0.2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23"/>
      <c r="N4" s="23"/>
    </row>
    <row r="5" spans="1:16" ht="3" customHeight="1" x14ac:dyDescent="0.2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23"/>
      <c r="N5" s="23"/>
    </row>
    <row r="6" spans="1:16" ht="8.25" customHeight="1" x14ac:dyDescent="0.2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23"/>
      <c r="N6" s="23"/>
    </row>
    <row r="7" spans="1:16" ht="16.5" customHeight="1" x14ac:dyDescent="0.2">
      <c r="A7" s="45"/>
      <c r="B7" s="46" t="s">
        <v>399</v>
      </c>
      <c r="C7" s="45"/>
      <c r="D7" s="45"/>
      <c r="E7" s="46" t="s">
        <v>4</v>
      </c>
      <c r="F7" s="46" t="s">
        <v>1</v>
      </c>
      <c r="G7" s="47"/>
      <c r="H7" s="47"/>
      <c r="I7" s="47"/>
      <c r="J7" s="47"/>
      <c r="K7" s="46" t="s">
        <v>397</v>
      </c>
      <c r="L7" s="46" t="s">
        <v>400</v>
      </c>
      <c r="M7" s="23"/>
      <c r="N7" s="23"/>
    </row>
    <row r="8" spans="1:16" ht="13.5" customHeight="1" x14ac:dyDescent="0.2">
      <c r="A8" s="48"/>
      <c r="B8" s="48"/>
      <c r="C8" s="48"/>
      <c r="D8" s="48"/>
      <c r="E8" s="49"/>
      <c r="F8" s="49"/>
      <c r="G8" s="50"/>
      <c r="H8" s="50"/>
      <c r="I8" s="50"/>
      <c r="J8" s="50"/>
      <c r="K8" s="49" t="s">
        <v>2</v>
      </c>
      <c r="L8" s="49" t="s">
        <v>15</v>
      </c>
      <c r="M8" s="23"/>
      <c r="N8" s="23"/>
    </row>
    <row r="9" spans="1:16" ht="23.25" customHeight="1" x14ac:dyDescent="0.2">
      <c r="A9" s="51" t="s">
        <v>51</v>
      </c>
      <c r="B9" s="52" t="s">
        <v>52</v>
      </c>
      <c r="C9" s="53">
        <f>+C10+C12+C13</f>
        <v>102713</v>
      </c>
      <c r="D9" s="53">
        <f>+D10+D12</f>
        <v>235750</v>
      </c>
      <c r="E9" s="53">
        <f>+E10+E12+E13</f>
        <v>75858</v>
      </c>
      <c r="F9" s="53">
        <f>+F10+F12+F13</f>
        <v>75858</v>
      </c>
      <c r="G9" s="53">
        <f t="shared" ref="G9:L9" si="0">+G10+G12+G13</f>
        <v>0</v>
      </c>
      <c r="H9" s="53">
        <v>0</v>
      </c>
      <c r="I9" s="53">
        <f t="shared" si="0"/>
        <v>38669.199999999997</v>
      </c>
      <c r="J9" s="53">
        <f t="shared" si="0"/>
        <v>0</v>
      </c>
      <c r="K9" s="53">
        <f t="shared" ref="K9" si="1">+K10+K12+K13</f>
        <v>42053.45</v>
      </c>
      <c r="L9" s="53">
        <f t="shared" si="0"/>
        <v>33804.550000000003</v>
      </c>
      <c r="M9" s="24">
        <f t="shared" ref="M9" si="2">+M10+M12</f>
        <v>34454.800000000003</v>
      </c>
      <c r="N9" s="25">
        <f>+I9*100/E9</f>
        <v>50.975770518600534</v>
      </c>
      <c r="O9" s="6"/>
      <c r="P9">
        <v>0</v>
      </c>
    </row>
    <row r="10" spans="1:16" ht="12.75" x14ac:dyDescent="0.2">
      <c r="A10" s="51" t="s">
        <v>53</v>
      </c>
      <c r="B10" s="52" t="s">
        <v>54</v>
      </c>
      <c r="C10" s="53">
        <f>SUM(C11:C11)</f>
        <v>85200</v>
      </c>
      <c r="D10" s="53">
        <f>SUM(D11:D11)</f>
        <v>203614</v>
      </c>
      <c r="E10" s="53">
        <f>SUM(E11:E11)</f>
        <v>71840</v>
      </c>
      <c r="F10" s="53">
        <f>SUM(F11:F11)</f>
        <v>71840</v>
      </c>
      <c r="G10" s="53">
        <f>SUM(G11:G11)</f>
        <v>0</v>
      </c>
      <c r="H10" s="53">
        <f>+H11</f>
        <v>0</v>
      </c>
      <c r="I10" s="53">
        <f>SUM(I11:I11)</f>
        <v>38669.199999999997</v>
      </c>
      <c r="J10" s="53">
        <f>SUM(J11:J11)</f>
        <v>0</v>
      </c>
      <c r="K10" s="53">
        <f>+K11</f>
        <v>42053.45</v>
      </c>
      <c r="L10" s="53">
        <f>+L11</f>
        <v>29786.550000000003</v>
      </c>
      <c r="M10" s="26">
        <f t="shared" ref="M10:M91" si="3">+E10-I10</f>
        <v>33170.800000000003</v>
      </c>
      <c r="N10" s="27">
        <f t="shared" ref="N10:N96" si="4">+I10*100/E10</f>
        <v>53.826837416481062</v>
      </c>
      <c r="P10">
        <v>0</v>
      </c>
    </row>
    <row r="11" spans="1:16" ht="12.75" x14ac:dyDescent="0.2">
      <c r="A11" s="54" t="s">
        <v>337</v>
      </c>
      <c r="B11" s="55" t="s">
        <v>338</v>
      </c>
      <c r="C11" s="56">
        <v>85200</v>
      </c>
      <c r="D11" s="57">
        <v>203614</v>
      </c>
      <c r="E11" s="56">
        <v>71840</v>
      </c>
      <c r="F11" s="56">
        <v>71840</v>
      </c>
      <c r="G11" s="56">
        <v>0</v>
      </c>
      <c r="H11" s="56">
        <v>0</v>
      </c>
      <c r="I11" s="58">
        <v>38669.199999999997</v>
      </c>
      <c r="J11" s="56">
        <v>0</v>
      </c>
      <c r="K11" s="56">
        <v>42053.45</v>
      </c>
      <c r="L11" s="56">
        <f>+F11-K11</f>
        <v>29786.550000000003</v>
      </c>
      <c r="M11" s="26">
        <f t="shared" si="3"/>
        <v>33170.800000000003</v>
      </c>
      <c r="N11" s="27">
        <f t="shared" si="4"/>
        <v>53.826837416481062</v>
      </c>
      <c r="P11">
        <v>0</v>
      </c>
    </row>
    <row r="12" spans="1:16" ht="13.5" customHeight="1" x14ac:dyDescent="0.2">
      <c r="A12" s="59" t="s">
        <v>70</v>
      </c>
      <c r="B12" s="52" t="s">
        <v>359</v>
      </c>
      <c r="C12" s="53">
        <v>3850</v>
      </c>
      <c r="D12" s="53">
        <f>SUM(D13:D13)</f>
        <v>32136</v>
      </c>
      <c r="E12" s="53">
        <v>1284</v>
      </c>
      <c r="F12" s="53">
        <v>1284</v>
      </c>
      <c r="G12" s="53">
        <f>SUM(G13:G13)</f>
        <v>0</v>
      </c>
      <c r="H12" s="53">
        <v>0</v>
      </c>
      <c r="I12" s="53">
        <f>SUM(I13:I13)</f>
        <v>0</v>
      </c>
      <c r="J12" s="53">
        <f>SUM(J13:J13)</f>
        <v>0</v>
      </c>
      <c r="K12" s="53">
        <f t="shared" ref="K12:K58" si="5">+I12+H12</f>
        <v>0</v>
      </c>
      <c r="L12" s="56">
        <f t="shared" ref="L12:L75" si="6">+F12-K12</f>
        <v>1284</v>
      </c>
      <c r="M12" s="28">
        <f t="shared" si="3"/>
        <v>1284</v>
      </c>
      <c r="N12" s="27">
        <f t="shared" si="4"/>
        <v>0</v>
      </c>
      <c r="O12" s="7"/>
      <c r="P12">
        <v>0</v>
      </c>
    </row>
    <row r="13" spans="1:16" ht="21" customHeight="1" x14ac:dyDescent="0.2">
      <c r="A13" s="59" t="s">
        <v>72</v>
      </c>
      <c r="B13" s="60" t="s">
        <v>360</v>
      </c>
      <c r="C13" s="53">
        <f>SUM(C14:C17)</f>
        <v>13663</v>
      </c>
      <c r="D13" s="53">
        <v>32136</v>
      </c>
      <c r="E13" s="53">
        <f>SUM(E14:E17)</f>
        <v>2734</v>
      </c>
      <c r="F13" s="53">
        <f>SUM(F14:F17)</f>
        <v>2734</v>
      </c>
      <c r="G13" s="53">
        <f t="shared" ref="G13:J13" si="7">SUM(G14:G17)</f>
        <v>0</v>
      </c>
      <c r="H13" s="53">
        <f t="shared" ref="H13" si="8">SUM(H14:H17)</f>
        <v>0</v>
      </c>
      <c r="I13" s="53">
        <f t="shared" si="7"/>
        <v>0</v>
      </c>
      <c r="J13" s="53">
        <f t="shared" si="7"/>
        <v>0</v>
      </c>
      <c r="K13" s="53">
        <f t="shared" si="5"/>
        <v>0</v>
      </c>
      <c r="L13" s="56">
        <f t="shared" si="6"/>
        <v>2734</v>
      </c>
      <c r="M13" s="26">
        <f t="shared" si="3"/>
        <v>2734</v>
      </c>
      <c r="N13" s="27">
        <f t="shared" si="4"/>
        <v>0</v>
      </c>
      <c r="O13" s="7"/>
      <c r="P13">
        <v>0</v>
      </c>
    </row>
    <row r="14" spans="1:16" ht="15" customHeight="1" x14ac:dyDescent="0.2">
      <c r="A14" s="54" t="s">
        <v>74</v>
      </c>
      <c r="B14" s="57" t="s">
        <v>370</v>
      </c>
      <c r="C14" s="56">
        <v>10851</v>
      </c>
      <c r="D14" s="56"/>
      <c r="E14" s="56">
        <v>2171</v>
      </c>
      <c r="F14" s="56">
        <v>2171</v>
      </c>
      <c r="G14" s="56"/>
      <c r="H14" s="56"/>
      <c r="I14" s="56"/>
      <c r="J14" s="56"/>
      <c r="K14" s="53">
        <f t="shared" si="5"/>
        <v>0</v>
      </c>
      <c r="L14" s="56">
        <f t="shared" si="6"/>
        <v>2171</v>
      </c>
      <c r="M14" s="26"/>
      <c r="N14" s="27"/>
      <c r="O14" s="7"/>
    </row>
    <row r="15" spans="1:16" ht="13.5" customHeight="1" x14ac:dyDescent="0.2">
      <c r="A15" s="54" t="s">
        <v>76</v>
      </c>
      <c r="B15" s="57" t="s">
        <v>361</v>
      </c>
      <c r="C15" s="56">
        <v>1278</v>
      </c>
      <c r="D15" s="56"/>
      <c r="E15" s="56">
        <v>256</v>
      </c>
      <c r="F15" s="56">
        <v>256</v>
      </c>
      <c r="G15" s="56"/>
      <c r="H15" s="56"/>
      <c r="I15" s="58"/>
      <c r="J15" s="58"/>
      <c r="K15" s="53">
        <f t="shared" si="5"/>
        <v>0</v>
      </c>
      <c r="L15" s="56">
        <f t="shared" si="6"/>
        <v>256</v>
      </c>
      <c r="M15" s="26"/>
      <c r="N15" s="27"/>
      <c r="O15" s="7"/>
    </row>
    <row r="16" spans="1:16" ht="13.5" customHeight="1" x14ac:dyDescent="0.2">
      <c r="A16" s="54" t="s">
        <v>78</v>
      </c>
      <c r="B16" s="57" t="s">
        <v>362</v>
      </c>
      <c r="C16" s="56">
        <v>1278</v>
      </c>
      <c r="D16" s="56"/>
      <c r="E16" s="56">
        <v>256</v>
      </c>
      <c r="F16" s="56">
        <v>256</v>
      </c>
      <c r="G16" s="56"/>
      <c r="H16" s="56"/>
      <c r="I16" s="58"/>
      <c r="J16" s="58"/>
      <c r="K16" s="53">
        <f t="shared" si="5"/>
        <v>0</v>
      </c>
      <c r="L16" s="56">
        <f t="shared" si="6"/>
        <v>256</v>
      </c>
      <c r="M16" s="26"/>
      <c r="N16" s="27"/>
      <c r="O16" s="7"/>
    </row>
    <row r="17" spans="1:21" ht="13.5" customHeight="1" x14ac:dyDescent="0.2">
      <c r="A17" s="54" t="s">
        <v>80</v>
      </c>
      <c r="B17" s="57" t="s">
        <v>363</v>
      </c>
      <c r="C17" s="56">
        <v>256</v>
      </c>
      <c r="D17" s="56"/>
      <c r="E17" s="56">
        <v>51</v>
      </c>
      <c r="F17" s="56">
        <v>51</v>
      </c>
      <c r="G17" s="56"/>
      <c r="H17" s="56"/>
      <c r="I17" s="58"/>
      <c r="J17" s="58"/>
      <c r="K17" s="53">
        <f t="shared" si="5"/>
        <v>0</v>
      </c>
      <c r="L17" s="56">
        <f t="shared" si="6"/>
        <v>51</v>
      </c>
      <c r="M17" s="26"/>
      <c r="N17" s="27"/>
      <c r="O17" s="7"/>
    </row>
    <row r="18" spans="1:21" ht="18.75" customHeight="1" x14ac:dyDescent="0.2">
      <c r="A18" s="51" t="s">
        <v>89</v>
      </c>
      <c r="B18" s="52" t="s">
        <v>90</v>
      </c>
      <c r="C18" s="53">
        <f t="shared" ref="C18:J18" si="9">+C19+C21+C23+C26+C28</f>
        <v>628424</v>
      </c>
      <c r="D18" s="53">
        <f t="shared" si="9"/>
        <v>25326</v>
      </c>
      <c r="E18" s="53">
        <f>+E19+E23+E28</f>
        <v>421346.8</v>
      </c>
      <c r="F18" s="53">
        <f>+F19+F23+F28</f>
        <v>421346.8</v>
      </c>
      <c r="G18" s="53">
        <f>+G19+G21+G23+G26+G28</f>
        <v>0</v>
      </c>
      <c r="H18" s="53">
        <f>+H19+H21+H23+H26+H28</f>
        <v>89159.75</v>
      </c>
      <c r="I18" s="53">
        <f>+I19+I21+I23+I26+I28</f>
        <v>13615.45</v>
      </c>
      <c r="J18" s="53">
        <f t="shared" si="9"/>
        <v>0</v>
      </c>
      <c r="K18" s="53">
        <f>+K19+K21+K23+K26+K28</f>
        <v>212747.1</v>
      </c>
      <c r="L18" s="53">
        <f t="shared" si="6"/>
        <v>208599.69999999998</v>
      </c>
      <c r="M18" s="24">
        <f>+M19+M21+M23+M26+M28</f>
        <v>189399.55</v>
      </c>
      <c r="N18" s="27">
        <f t="shared" si="4"/>
        <v>3.2314117491814347</v>
      </c>
      <c r="O18" s="7"/>
    </row>
    <row r="19" spans="1:21" ht="12.75" customHeight="1" x14ac:dyDescent="0.2">
      <c r="A19" s="61" t="s">
        <v>123</v>
      </c>
      <c r="B19" s="60" t="s">
        <v>124</v>
      </c>
      <c r="C19" s="53">
        <f>SUM(C20:C20)</f>
        <v>1500</v>
      </c>
      <c r="D19" s="53">
        <f>SUM(D20:D20)</f>
        <v>10908</v>
      </c>
      <c r="E19" s="53">
        <f>SUM(E20:E20)</f>
        <v>3000</v>
      </c>
      <c r="F19" s="53">
        <f>SUM(F20:F20)</f>
        <v>3000</v>
      </c>
      <c r="G19" s="53">
        <f>SUM(G20:G20)</f>
        <v>0</v>
      </c>
      <c r="H19" s="53">
        <f>+H20</f>
        <v>450</v>
      </c>
      <c r="I19" s="53">
        <f>SUM(I20:I20)</f>
        <v>0</v>
      </c>
      <c r="J19" s="53">
        <f>SUM(J20:J20)</f>
        <v>0</v>
      </c>
      <c r="K19" s="53">
        <v>0</v>
      </c>
      <c r="L19" s="56">
        <f t="shared" si="6"/>
        <v>3000</v>
      </c>
      <c r="M19" s="28">
        <f t="shared" si="3"/>
        <v>3000</v>
      </c>
      <c r="N19" s="27">
        <f t="shared" si="4"/>
        <v>0</v>
      </c>
      <c r="O19" s="7"/>
    </row>
    <row r="20" spans="1:21" ht="15.75" customHeight="1" x14ac:dyDescent="0.2">
      <c r="A20" s="62" t="s">
        <v>125</v>
      </c>
      <c r="B20" s="57" t="s">
        <v>126</v>
      </c>
      <c r="C20" s="56">
        <v>1500</v>
      </c>
      <c r="D20" s="56">
        <v>10908</v>
      </c>
      <c r="E20" s="56">
        <v>3000</v>
      </c>
      <c r="F20" s="56">
        <v>3000</v>
      </c>
      <c r="G20" s="56">
        <v>0</v>
      </c>
      <c r="H20" s="56">
        <v>450</v>
      </c>
      <c r="I20" s="58">
        <f>+P20+G20</f>
        <v>0</v>
      </c>
      <c r="J20" s="56">
        <v>0</v>
      </c>
      <c r="K20" s="56">
        <v>0</v>
      </c>
      <c r="L20" s="56">
        <f t="shared" si="6"/>
        <v>3000</v>
      </c>
      <c r="M20" s="26">
        <f t="shared" si="3"/>
        <v>3000</v>
      </c>
      <c r="N20" s="27">
        <f t="shared" si="4"/>
        <v>0</v>
      </c>
      <c r="O20" s="7"/>
    </row>
    <row r="21" spans="1:21" ht="13.5" hidden="1" customHeight="1" x14ac:dyDescent="0.2">
      <c r="A21" s="61" t="s">
        <v>130</v>
      </c>
      <c r="B21" s="60" t="s">
        <v>131</v>
      </c>
      <c r="C21" s="53">
        <f>SUM(C22:C22)</f>
        <v>0</v>
      </c>
      <c r="D21" s="53">
        <f>SUM(D22:D22)</f>
        <v>9200</v>
      </c>
      <c r="E21" s="53">
        <f>SUM(E22:E22)</f>
        <v>2100</v>
      </c>
      <c r="F21" s="53">
        <f>SUM(F22:F22)</f>
        <v>2100</v>
      </c>
      <c r="G21" s="53">
        <f>SUM(G22:G22)</f>
        <v>0</v>
      </c>
      <c r="H21" s="53">
        <f>+H22</f>
        <v>0</v>
      </c>
      <c r="I21" s="53">
        <f>SUM(I22:I22)</f>
        <v>0</v>
      </c>
      <c r="J21" s="53">
        <f>SUM(J22:J22)</f>
        <v>0</v>
      </c>
      <c r="K21" s="53">
        <f t="shared" si="5"/>
        <v>0</v>
      </c>
      <c r="L21" s="56">
        <f t="shared" si="6"/>
        <v>2100</v>
      </c>
      <c r="M21" s="28">
        <f t="shared" si="3"/>
        <v>2100</v>
      </c>
      <c r="N21" s="27">
        <f t="shared" si="4"/>
        <v>0</v>
      </c>
      <c r="O21" s="6"/>
      <c r="P21">
        <v>0</v>
      </c>
    </row>
    <row r="22" spans="1:21" ht="15.75" hidden="1" customHeight="1" x14ac:dyDescent="0.2">
      <c r="A22" s="62" t="s">
        <v>132</v>
      </c>
      <c r="B22" s="57" t="s">
        <v>126</v>
      </c>
      <c r="C22" s="56">
        <v>0</v>
      </c>
      <c r="D22" s="56">
        <v>9200</v>
      </c>
      <c r="E22" s="56">
        <v>2100</v>
      </c>
      <c r="F22" s="56">
        <v>2100</v>
      </c>
      <c r="G22" s="56">
        <v>0</v>
      </c>
      <c r="H22" s="56">
        <v>0</v>
      </c>
      <c r="I22" s="58">
        <f>+P22+G22</f>
        <v>0</v>
      </c>
      <c r="J22" s="56">
        <v>0</v>
      </c>
      <c r="K22" s="53">
        <f t="shared" si="5"/>
        <v>0</v>
      </c>
      <c r="L22" s="56">
        <f t="shared" si="6"/>
        <v>2100</v>
      </c>
      <c r="M22" s="26">
        <f t="shared" si="3"/>
        <v>2100</v>
      </c>
      <c r="N22" s="27">
        <f t="shared" si="4"/>
        <v>0</v>
      </c>
      <c r="O22" s="6"/>
      <c r="P22">
        <v>0</v>
      </c>
    </row>
    <row r="23" spans="1:21" ht="12.75" x14ac:dyDescent="0.2">
      <c r="A23" s="61" t="s">
        <v>135</v>
      </c>
      <c r="B23" s="60" t="s">
        <v>136</v>
      </c>
      <c r="C23" s="53">
        <f>+C25</f>
        <v>478174</v>
      </c>
      <c r="D23" s="53">
        <f>SUM(D25:D25)</f>
        <v>61600</v>
      </c>
      <c r="E23" s="53">
        <f>+E24+E25</f>
        <v>234572.79999999999</v>
      </c>
      <c r="F23" s="53">
        <f>+F24+F25</f>
        <v>234572.79999999999</v>
      </c>
      <c r="G23" s="53">
        <v>0</v>
      </c>
      <c r="H23" s="53">
        <f>+H24+H25</f>
        <v>88709.75</v>
      </c>
      <c r="I23" s="53">
        <f>SUM(I24:I25)</f>
        <v>4841</v>
      </c>
      <c r="J23" s="53">
        <f>SUM(J25:J25)</f>
        <v>0</v>
      </c>
      <c r="K23" s="53">
        <f>+K24+K25</f>
        <v>203972.65</v>
      </c>
      <c r="L23" s="53">
        <f t="shared" si="6"/>
        <v>30600.149999999994</v>
      </c>
      <c r="M23" s="24">
        <f>SUM(M25:M25)</f>
        <v>8000</v>
      </c>
      <c r="N23" s="27">
        <f t="shared" si="4"/>
        <v>2.0637516370184437</v>
      </c>
      <c r="O23" s="6"/>
      <c r="P23">
        <v>0</v>
      </c>
    </row>
    <row r="24" spans="1:21" ht="12" customHeight="1" x14ac:dyDescent="0.2">
      <c r="A24" s="63">
        <v>165</v>
      </c>
      <c r="B24" s="57" t="s">
        <v>376</v>
      </c>
      <c r="C24" s="53"/>
      <c r="D24" s="53"/>
      <c r="E24" s="56">
        <v>226572.79999999999</v>
      </c>
      <c r="F24" s="56">
        <v>226572.79999999999</v>
      </c>
      <c r="G24" s="56"/>
      <c r="H24" s="56">
        <v>88709.75</v>
      </c>
      <c r="I24" s="56">
        <v>4841</v>
      </c>
      <c r="J24" s="53"/>
      <c r="K24" s="56">
        <v>197883.29</v>
      </c>
      <c r="L24" s="56">
        <f t="shared" si="6"/>
        <v>28689.50999999998</v>
      </c>
      <c r="M24" s="24"/>
      <c r="N24" s="27">
        <f t="shared" si="4"/>
        <v>2.1366201062086887</v>
      </c>
      <c r="O24" s="6"/>
    </row>
    <row r="25" spans="1:21" ht="12.75" x14ac:dyDescent="0.2">
      <c r="A25" s="64" t="s">
        <v>142</v>
      </c>
      <c r="B25" s="55" t="s">
        <v>143</v>
      </c>
      <c r="C25" s="56">
        <v>478174</v>
      </c>
      <c r="D25" s="56">
        <v>61600</v>
      </c>
      <c r="E25" s="56">
        <v>8000</v>
      </c>
      <c r="F25" s="56">
        <v>8000</v>
      </c>
      <c r="G25" s="56"/>
      <c r="H25" s="56"/>
      <c r="I25" s="58">
        <v>0</v>
      </c>
      <c r="J25" s="56">
        <v>0</v>
      </c>
      <c r="K25" s="53">
        <v>6089.36</v>
      </c>
      <c r="L25" s="56">
        <f t="shared" si="6"/>
        <v>1910.6400000000003</v>
      </c>
      <c r="M25" s="26">
        <f t="shared" si="3"/>
        <v>8000</v>
      </c>
      <c r="N25" s="27">
        <f t="shared" si="4"/>
        <v>0</v>
      </c>
      <c r="O25" s="6"/>
    </row>
    <row r="26" spans="1:21" ht="12.75" hidden="1" x14ac:dyDescent="0.2">
      <c r="A26" s="65">
        <v>170</v>
      </c>
      <c r="B26" s="66" t="s">
        <v>321</v>
      </c>
      <c r="C26" s="67">
        <f>+C27</f>
        <v>0</v>
      </c>
      <c r="D26" s="67">
        <f t="shared" ref="D26:M26" si="10">+D27</f>
        <v>-40500</v>
      </c>
      <c r="E26" s="67">
        <f>+E27</f>
        <v>1300</v>
      </c>
      <c r="F26" s="67">
        <f>+F27</f>
        <v>1300</v>
      </c>
      <c r="G26" s="67"/>
      <c r="H26" s="67">
        <f t="shared" si="10"/>
        <v>0</v>
      </c>
      <c r="I26" s="67"/>
      <c r="J26" s="67">
        <f t="shared" si="10"/>
        <v>0</v>
      </c>
      <c r="K26" s="53">
        <f t="shared" si="5"/>
        <v>0</v>
      </c>
      <c r="L26" s="56">
        <f t="shared" si="6"/>
        <v>1300</v>
      </c>
      <c r="M26" s="29">
        <f t="shared" si="10"/>
        <v>1300</v>
      </c>
      <c r="N26" s="27"/>
      <c r="O26" s="6"/>
    </row>
    <row r="27" spans="1:21" ht="12.75" hidden="1" x14ac:dyDescent="0.2">
      <c r="A27" s="64">
        <v>172</v>
      </c>
      <c r="B27" s="68" t="s">
        <v>145</v>
      </c>
      <c r="C27" s="69">
        <v>0</v>
      </c>
      <c r="D27" s="69">
        <v>-40500</v>
      </c>
      <c r="E27" s="69">
        <v>1300</v>
      </c>
      <c r="F27" s="69">
        <v>1300</v>
      </c>
      <c r="G27" s="58"/>
      <c r="H27" s="56">
        <v>0</v>
      </c>
      <c r="I27" s="58"/>
      <c r="J27" s="58">
        <v>0</v>
      </c>
      <c r="K27" s="53">
        <f t="shared" si="5"/>
        <v>0</v>
      </c>
      <c r="L27" s="56">
        <f t="shared" si="6"/>
        <v>1300</v>
      </c>
      <c r="M27" s="26">
        <f t="shared" si="3"/>
        <v>1300</v>
      </c>
      <c r="N27" s="27"/>
      <c r="O27" s="6"/>
    </row>
    <row r="28" spans="1:21" ht="12.75" x14ac:dyDescent="0.2">
      <c r="A28" s="61" t="s">
        <v>146</v>
      </c>
      <c r="B28" s="60" t="s">
        <v>147</v>
      </c>
      <c r="C28" s="53">
        <f t="shared" ref="C28:D28" si="11">SUM(C29:C31)</f>
        <v>148750</v>
      </c>
      <c r="D28" s="53">
        <f t="shared" si="11"/>
        <v>-15882</v>
      </c>
      <c r="E28" s="53">
        <f>SUM(E29:E32)</f>
        <v>183774</v>
      </c>
      <c r="F28" s="53">
        <f>SUM(F29:F32)</f>
        <v>183774</v>
      </c>
      <c r="G28" s="53">
        <f t="shared" ref="G28:L28" si="12">SUM(G29:G32)</f>
        <v>0</v>
      </c>
      <c r="H28" s="53">
        <f t="shared" si="12"/>
        <v>0</v>
      </c>
      <c r="I28" s="53">
        <f t="shared" si="12"/>
        <v>8774.4500000000007</v>
      </c>
      <c r="J28" s="53">
        <f t="shared" si="12"/>
        <v>0</v>
      </c>
      <c r="K28" s="53">
        <f t="shared" si="12"/>
        <v>8774.4500000000007</v>
      </c>
      <c r="L28" s="53">
        <f t="shared" si="12"/>
        <v>174999.55</v>
      </c>
      <c r="M28" s="28">
        <f t="shared" si="3"/>
        <v>174999.55</v>
      </c>
      <c r="N28" s="27">
        <f t="shared" si="4"/>
        <v>4.7745872647926264</v>
      </c>
      <c r="O28" s="6"/>
      <c r="Q28" s="2"/>
      <c r="R28" s="2"/>
      <c r="S28" s="2"/>
      <c r="T28" s="2"/>
      <c r="U28" s="2"/>
    </row>
    <row r="29" spans="1:21" ht="12.75" x14ac:dyDescent="0.2">
      <c r="A29" s="63">
        <v>181</v>
      </c>
      <c r="B29" s="57" t="s">
        <v>148</v>
      </c>
      <c r="C29" s="56">
        <v>93750</v>
      </c>
      <c r="D29" s="56">
        <v>-38182</v>
      </c>
      <c r="E29" s="56">
        <v>0</v>
      </c>
      <c r="F29" s="56">
        <v>0</v>
      </c>
      <c r="G29" s="56"/>
      <c r="H29" s="56"/>
      <c r="I29" s="58">
        <v>0</v>
      </c>
      <c r="J29" s="58">
        <v>0</v>
      </c>
      <c r="K29" s="53">
        <f t="shared" si="5"/>
        <v>0</v>
      </c>
      <c r="L29" s="56">
        <f t="shared" si="6"/>
        <v>0</v>
      </c>
      <c r="M29" s="26">
        <f t="shared" si="3"/>
        <v>0</v>
      </c>
      <c r="N29" s="27" t="e">
        <f t="shared" si="4"/>
        <v>#DIV/0!</v>
      </c>
      <c r="O29" s="6"/>
      <c r="Q29" s="2"/>
      <c r="R29" s="2"/>
      <c r="S29" s="2"/>
      <c r="T29" s="2"/>
      <c r="U29" s="2"/>
    </row>
    <row r="30" spans="1:21" ht="12.75" hidden="1" x14ac:dyDescent="0.2">
      <c r="A30" s="63">
        <v>182</v>
      </c>
      <c r="B30" s="57" t="s">
        <v>345</v>
      </c>
      <c r="C30" s="56"/>
      <c r="D30" s="56"/>
      <c r="E30" s="56"/>
      <c r="F30" s="56"/>
      <c r="G30" s="56"/>
      <c r="H30" s="56"/>
      <c r="I30" s="58"/>
      <c r="J30" s="58"/>
      <c r="K30" s="53">
        <f t="shared" si="5"/>
        <v>0</v>
      </c>
      <c r="L30" s="56">
        <f t="shared" si="6"/>
        <v>0</v>
      </c>
      <c r="M30" s="26"/>
      <c r="N30" s="27"/>
      <c r="O30" s="6"/>
      <c r="Q30" s="2"/>
      <c r="R30" s="2"/>
      <c r="S30" s="2"/>
      <c r="T30" s="2"/>
      <c r="U30" s="2"/>
    </row>
    <row r="31" spans="1:21" ht="12.75" x14ac:dyDescent="0.2">
      <c r="A31" s="64">
        <v>184</v>
      </c>
      <c r="B31" s="57" t="s">
        <v>371</v>
      </c>
      <c r="C31" s="56">
        <v>55000</v>
      </c>
      <c r="D31" s="56">
        <v>22300</v>
      </c>
      <c r="E31" s="56">
        <v>8774</v>
      </c>
      <c r="F31" s="56">
        <v>8774</v>
      </c>
      <c r="G31" s="58"/>
      <c r="H31" s="56"/>
      <c r="I31" s="58">
        <v>8774.4500000000007</v>
      </c>
      <c r="J31" s="58">
        <v>0</v>
      </c>
      <c r="K31" s="56">
        <f t="shared" si="5"/>
        <v>8774.4500000000007</v>
      </c>
      <c r="L31" s="56">
        <f t="shared" si="6"/>
        <v>-0.4500000000007276</v>
      </c>
      <c r="M31" s="26">
        <f t="shared" si="3"/>
        <v>-0.4500000000007276</v>
      </c>
      <c r="N31" s="27">
        <f t="shared" si="4"/>
        <v>100.00512878960566</v>
      </c>
      <c r="O31" s="6"/>
      <c r="Q31" s="2"/>
      <c r="R31" s="2"/>
      <c r="S31" s="2"/>
      <c r="T31" s="2"/>
      <c r="U31" s="2"/>
    </row>
    <row r="32" spans="1:21" ht="12.75" x14ac:dyDescent="0.2">
      <c r="A32" s="64">
        <v>189</v>
      </c>
      <c r="B32" s="57" t="s">
        <v>407</v>
      </c>
      <c r="C32" s="56"/>
      <c r="D32" s="56"/>
      <c r="E32" s="56">
        <v>175000</v>
      </c>
      <c r="F32" s="56">
        <v>175000</v>
      </c>
      <c r="G32" s="58"/>
      <c r="H32" s="56"/>
      <c r="I32" s="58"/>
      <c r="J32" s="58"/>
      <c r="K32" s="56"/>
      <c r="L32" s="56">
        <f t="shared" si="6"/>
        <v>175000</v>
      </c>
      <c r="M32" s="26"/>
      <c r="N32" s="27"/>
      <c r="O32" s="6"/>
      <c r="Q32" s="2"/>
      <c r="R32" s="2"/>
      <c r="S32" s="2"/>
      <c r="T32" s="2"/>
      <c r="U32" s="2"/>
    </row>
    <row r="33" spans="1:21" ht="16.5" customHeight="1" x14ac:dyDescent="0.2">
      <c r="A33" s="51" t="s">
        <v>160</v>
      </c>
      <c r="B33" s="52" t="s">
        <v>161</v>
      </c>
      <c r="C33" s="53" t="e">
        <f>+C34+C37+C44+#REF!+C52+C57+C62+C42</f>
        <v>#REF!</v>
      </c>
      <c r="D33" s="53" t="e">
        <f>+D34+D37+D44+#REF!+D52+D57+D62</f>
        <v>#REF!</v>
      </c>
      <c r="E33" s="53">
        <f t="shared" ref="E33:L33" si="13">+E42+E46+E52+E57+E62+E44</f>
        <v>126047</v>
      </c>
      <c r="F33" s="53">
        <f t="shared" ref="F33" si="14">+F42+F46+F52+F57+F62+F44</f>
        <v>126047</v>
      </c>
      <c r="G33" s="53">
        <f t="shared" si="13"/>
        <v>0</v>
      </c>
      <c r="H33" s="53">
        <f t="shared" si="13"/>
        <v>37230.97</v>
      </c>
      <c r="I33" s="53">
        <f t="shared" si="13"/>
        <v>10673.94</v>
      </c>
      <c r="J33" s="53">
        <f t="shared" si="13"/>
        <v>0</v>
      </c>
      <c r="K33" s="53">
        <f t="shared" si="13"/>
        <v>73544.98</v>
      </c>
      <c r="L33" s="53">
        <f t="shared" si="13"/>
        <v>52502.020000000004</v>
      </c>
      <c r="M33" s="24" t="e">
        <f>+M34+M37+M44+#REF!+M52+M57+M62</f>
        <v>#REF!</v>
      </c>
      <c r="N33" s="27">
        <f t="shared" si="4"/>
        <v>8.4682221710949097</v>
      </c>
      <c r="O33" s="6"/>
      <c r="Q33" s="2"/>
      <c r="R33" s="2"/>
      <c r="S33" s="2"/>
      <c r="T33" s="2"/>
      <c r="U33" s="2"/>
    </row>
    <row r="34" spans="1:21" ht="12.75" hidden="1" x14ac:dyDescent="0.2">
      <c r="A34" s="61" t="s">
        <v>170</v>
      </c>
      <c r="B34" s="60" t="s">
        <v>171</v>
      </c>
      <c r="C34" s="53">
        <f>SUM(C36:C36)</f>
        <v>0</v>
      </c>
      <c r="D34" s="53">
        <f>SUM(D36:D36)</f>
        <v>100</v>
      </c>
      <c r="E34" s="53">
        <f>SUM(E36:E36)</f>
        <v>0</v>
      </c>
      <c r="F34" s="53">
        <f>SUM(F36:F36)</f>
        <v>0</v>
      </c>
      <c r="G34" s="53"/>
      <c r="H34" s="53">
        <v>0</v>
      </c>
      <c r="I34" s="70"/>
      <c r="J34" s="53">
        <f>SUM(J36:J36)</f>
        <v>0</v>
      </c>
      <c r="K34" s="53">
        <f t="shared" si="5"/>
        <v>0</v>
      </c>
      <c r="L34" s="56">
        <f t="shared" si="6"/>
        <v>0</v>
      </c>
      <c r="M34" s="28">
        <f t="shared" si="3"/>
        <v>0</v>
      </c>
      <c r="N34" s="27" t="e">
        <f t="shared" si="4"/>
        <v>#DIV/0!</v>
      </c>
      <c r="O34" s="6"/>
      <c r="Q34" s="2"/>
      <c r="R34" s="2"/>
      <c r="S34" s="2"/>
      <c r="T34" s="2"/>
      <c r="U34" s="2"/>
    </row>
    <row r="35" spans="1:21" ht="12.75" hidden="1" x14ac:dyDescent="0.2">
      <c r="A35" s="63">
        <v>211</v>
      </c>
      <c r="B35" s="57" t="s">
        <v>173</v>
      </c>
      <c r="C35" s="53"/>
      <c r="D35" s="53"/>
      <c r="E35" s="53"/>
      <c r="F35" s="53"/>
      <c r="G35" s="53"/>
      <c r="H35" s="56">
        <v>0</v>
      </c>
      <c r="I35" s="70"/>
      <c r="J35" s="53"/>
      <c r="K35" s="53">
        <f t="shared" si="5"/>
        <v>0</v>
      </c>
      <c r="L35" s="56">
        <f t="shared" si="6"/>
        <v>0</v>
      </c>
      <c r="M35" s="28"/>
      <c r="N35" s="27"/>
      <c r="O35" s="6"/>
      <c r="Q35" s="2"/>
      <c r="R35" s="2"/>
      <c r="S35" s="2"/>
      <c r="T35" s="2"/>
      <c r="U35" s="2"/>
    </row>
    <row r="36" spans="1:21" ht="12.75" hidden="1" x14ac:dyDescent="0.2">
      <c r="A36" s="64" t="s">
        <v>176</v>
      </c>
      <c r="B36" s="55" t="s">
        <v>177</v>
      </c>
      <c r="C36" s="56">
        <v>0</v>
      </c>
      <c r="D36" s="56">
        <v>100</v>
      </c>
      <c r="E36" s="56">
        <v>0</v>
      </c>
      <c r="F36" s="56">
        <v>0</v>
      </c>
      <c r="G36" s="58"/>
      <c r="H36" s="56">
        <v>0</v>
      </c>
      <c r="I36" s="58"/>
      <c r="J36" s="58">
        <v>0</v>
      </c>
      <c r="K36" s="53">
        <f t="shared" si="5"/>
        <v>0</v>
      </c>
      <c r="L36" s="56">
        <f t="shared" si="6"/>
        <v>0</v>
      </c>
      <c r="M36" s="26">
        <f t="shared" si="3"/>
        <v>0</v>
      </c>
      <c r="N36" s="27" t="e">
        <f t="shared" si="4"/>
        <v>#DIV/0!</v>
      </c>
      <c r="O36" s="6"/>
      <c r="Q36" s="2"/>
      <c r="R36" s="2"/>
      <c r="S36" s="2"/>
      <c r="T36" s="2"/>
      <c r="U36" s="2"/>
    </row>
    <row r="37" spans="1:21" ht="12.75" hidden="1" x14ac:dyDescent="0.2">
      <c r="A37" s="61" t="s">
        <v>182</v>
      </c>
      <c r="B37" s="60" t="s">
        <v>183</v>
      </c>
      <c r="C37" s="53">
        <f>SUM(C38:C41)</f>
        <v>0</v>
      </c>
      <c r="D37" s="53">
        <f>SUM(D38:D41)</f>
        <v>12000</v>
      </c>
      <c r="E37" s="53">
        <f>SUM(E38:E41)</f>
        <v>0</v>
      </c>
      <c r="F37" s="53">
        <f>SUM(F38:F41)</f>
        <v>0</v>
      </c>
      <c r="G37" s="53"/>
      <c r="H37" s="53">
        <v>0</v>
      </c>
      <c r="I37" s="70"/>
      <c r="J37" s="53">
        <f>SUM(J38:J41)</f>
        <v>2221.5700000000002</v>
      </c>
      <c r="K37" s="53">
        <f t="shared" si="5"/>
        <v>0</v>
      </c>
      <c r="L37" s="56">
        <f t="shared" si="6"/>
        <v>0</v>
      </c>
      <c r="M37" s="28">
        <f t="shared" si="3"/>
        <v>0</v>
      </c>
      <c r="N37" s="27" t="e">
        <f t="shared" si="4"/>
        <v>#DIV/0!</v>
      </c>
      <c r="O37" s="7"/>
      <c r="Q37" s="2"/>
      <c r="R37" s="2"/>
      <c r="S37" s="2"/>
      <c r="T37" s="2"/>
      <c r="U37" s="2"/>
    </row>
    <row r="38" spans="1:21" ht="12.75" hidden="1" x14ac:dyDescent="0.2">
      <c r="A38" s="62" t="s">
        <v>184</v>
      </c>
      <c r="B38" s="57" t="s">
        <v>185</v>
      </c>
      <c r="C38" s="56">
        <v>0</v>
      </c>
      <c r="D38" s="56">
        <v>4000</v>
      </c>
      <c r="E38" s="56">
        <v>0</v>
      </c>
      <c r="F38" s="56">
        <v>0</v>
      </c>
      <c r="G38" s="58"/>
      <c r="H38" s="56">
        <v>0</v>
      </c>
      <c r="I38" s="58"/>
      <c r="J38" s="58">
        <v>0</v>
      </c>
      <c r="K38" s="53">
        <f t="shared" si="5"/>
        <v>0</v>
      </c>
      <c r="L38" s="56">
        <f t="shared" si="6"/>
        <v>0</v>
      </c>
      <c r="M38" s="26">
        <f t="shared" si="3"/>
        <v>0</v>
      </c>
      <c r="N38" s="27" t="e">
        <f t="shared" si="4"/>
        <v>#DIV/0!</v>
      </c>
      <c r="O38" s="6"/>
      <c r="Q38" s="2"/>
      <c r="R38" s="2"/>
      <c r="S38" s="2"/>
      <c r="T38" s="2"/>
      <c r="U38" s="2"/>
    </row>
    <row r="39" spans="1:21" ht="12.75" hidden="1" x14ac:dyDescent="0.2">
      <c r="A39" s="63">
        <v>222</v>
      </c>
      <c r="B39" s="57" t="s">
        <v>295</v>
      </c>
      <c r="C39" s="56">
        <v>0</v>
      </c>
      <c r="D39" s="56">
        <v>4000</v>
      </c>
      <c r="E39" s="56">
        <v>0</v>
      </c>
      <c r="F39" s="56">
        <v>0</v>
      </c>
      <c r="G39" s="56"/>
      <c r="H39" s="56">
        <v>0</v>
      </c>
      <c r="I39" s="58"/>
      <c r="J39" s="58">
        <v>2221.5700000000002</v>
      </c>
      <c r="K39" s="53">
        <f t="shared" si="5"/>
        <v>0</v>
      </c>
      <c r="L39" s="56">
        <f t="shared" si="6"/>
        <v>0</v>
      </c>
      <c r="M39" s="26">
        <f t="shared" si="3"/>
        <v>0</v>
      </c>
      <c r="N39" s="27" t="e">
        <f t="shared" si="4"/>
        <v>#DIV/0!</v>
      </c>
      <c r="O39" s="6"/>
      <c r="Q39" s="2"/>
      <c r="R39" s="2"/>
      <c r="S39" s="2"/>
      <c r="T39" s="2"/>
      <c r="U39" s="2"/>
    </row>
    <row r="40" spans="1:21" ht="12.75" hidden="1" x14ac:dyDescent="0.2">
      <c r="A40" s="64" t="s">
        <v>186</v>
      </c>
      <c r="B40" s="55" t="s">
        <v>187</v>
      </c>
      <c r="C40" s="56">
        <v>0</v>
      </c>
      <c r="D40" s="56">
        <v>2000</v>
      </c>
      <c r="E40" s="56">
        <v>0</v>
      </c>
      <c r="F40" s="56">
        <v>0</v>
      </c>
      <c r="G40" s="58"/>
      <c r="H40" s="56">
        <v>0</v>
      </c>
      <c r="I40" s="70"/>
      <c r="J40" s="58">
        <v>0</v>
      </c>
      <c r="K40" s="53">
        <f t="shared" si="5"/>
        <v>0</v>
      </c>
      <c r="L40" s="56">
        <f t="shared" si="6"/>
        <v>0</v>
      </c>
      <c r="M40" s="26">
        <f t="shared" si="3"/>
        <v>0</v>
      </c>
      <c r="N40" s="27" t="e">
        <f t="shared" si="4"/>
        <v>#DIV/0!</v>
      </c>
      <c r="O40" s="6"/>
      <c r="Q40" s="2"/>
      <c r="R40" s="2"/>
      <c r="S40" s="2"/>
      <c r="T40" s="2"/>
      <c r="U40" s="2"/>
    </row>
    <row r="41" spans="1:21" ht="12.75" hidden="1" x14ac:dyDescent="0.2">
      <c r="A41" s="64" t="s">
        <v>188</v>
      </c>
      <c r="B41" s="55" t="s">
        <v>189</v>
      </c>
      <c r="C41" s="56">
        <v>0</v>
      </c>
      <c r="D41" s="56">
        <v>2000</v>
      </c>
      <c r="E41" s="56">
        <v>0</v>
      </c>
      <c r="F41" s="56">
        <v>0</v>
      </c>
      <c r="G41" s="58"/>
      <c r="H41" s="56">
        <v>0</v>
      </c>
      <c r="I41" s="70"/>
      <c r="J41" s="58">
        <v>0</v>
      </c>
      <c r="K41" s="53">
        <f t="shared" si="5"/>
        <v>0</v>
      </c>
      <c r="L41" s="56">
        <f t="shared" si="6"/>
        <v>0</v>
      </c>
      <c r="M41" s="26">
        <f t="shared" si="3"/>
        <v>0</v>
      </c>
      <c r="N41" s="27" t="e">
        <f t="shared" si="4"/>
        <v>#DIV/0!</v>
      </c>
      <c r="O41" s="6"/>
      <c r="Q41" s="2"/>
      <c r="R41" s="2"/>
      <c r="S41" s="2"/>
      <c r="T41" s="2"/>
      <c r="U41" s="2"/>
    </row>
    <row r="42" spans="1:21" ht="12.75" x14ac:dyDescent="0.2">
      <c r="A42" s="51">
        <v>230</v>
      </c>
      <c r="B42" s="52" t="s">
        <v>346</v>
      </c>
      <c r="C42" s="53">
        <f>+C43</f>
        <v>3000</v>
      </c>
      <c r="D42" s="53"/>
      <c r="E42" s="53">
        <f>+E43</f>
        <v>0</v>
      </c>
      <c r="F42" s="53">
        <f>+F43</f>
        <v>0</v>
      </c>
      <c r="G42" s="53">
        <f t="shared" ref="G42:J42" si="15">+G43</f>
        <v>0</v>
      </c>
      <c r="H42" s="53">
        <f t="shared" si="15"/>
        <v>900</v>
      </c>
      <c r="I42" s="53">
        <f t="shared" si="15"/>
        <v>0</v>
      </c>
      <c r="J42" s="53">
        <f t="shared" si="15"/>
        <v>0</v>
      </c>
      <c r="K42" s="53">
        <v>0</v>
      </c>
      <c r="L42" s="56">
        <f t="shared" si="6"/>
        <v>0</v>
      </c>
      <c r="M42" s="28"/>
      <c r="N42" s="27"/>
      <c r="O42" s="6"/>
      <c r="Q42" s="2"/>
      <c r="R42" s="2"/>
      <c r="S42" s="2"/>
      <c r="T42" s="2"/>
      <c r="U42" s="2"/>
    </row>
    <row r="43" spans="1:21" ht="12.75" x14ac:dyDescent="0.2">
      <c r="A43" s="64">
        <v>231</v>
      </c>
      <c r="B43" s="55" t="s">
        <v>194</v>
      </c>
      <c r="C43" s="56">
        <v>3000</v>
      </c>
      <c r="D43" s="56"/>
      <c r="E43" s="56">
        <v>0</v>
      </c>
      <c r="F43" s="56">
        <v>0</v>
      </c>
      <c r="G43" s="58"/>
      <c r="H43" s="56">
        <v>900</v>
      </c>
      <c r="I43" s="70"/>
      <c r="J43" s="58"/>
      <c r="K43" s="56">
        <v>0</v>
      </c>
      <c r="L43" s="56">
        <f t="shared" si="6"/>
        <v>0</v>
      </c>
      <c r="M43" s="26"/>
      <c r="N43" s="27"/>
      <c r="O43" s="6"/>
      <c r="Q43" s="2"/>
      <c r="R43" s="2"/>
      <c r="S43" s="2"/>
      <c r="T43" s="2"/>
      <c r="U43" s="2"/>
    </row>
    <row r="44" spans="1:21" ht="18" customHeight="1" x14ac:dyDescent="0.2">
      <c r="A44" s="61" t="s">
        <v>199</v>
      </c>
      <c r="B44" s="60" t="s">
        <v>200</v>
      </c>
      <c r="C44" s="53" t="e">
        <f>SUM(#REF!)</f>
        <v>#REF!</v>
      </c>
      <c r="D44" s="53" t="e">
        <f>SUM(#REF!)</f>
        <v>#REF!</v>
      </c>
      <c r="E44" s="53">
        <f>+E45</f>
        <v>7900</v>
      </c>
      <c r="F44" s="53">
        <f>+F45</f>
        <v>7900</v>
      </c>
      <c r="G44" s="53">
        <f t="shared" ref="G44:L44" si="16">+G45</f>
        <v>0</v>
      </c>
      <c r="H44" s="53">
        <f t="shared" si="16"/>
        <v>0</v>
      </c>
      <c r="I44" s="53">
        <f t="shared" si="16"/>
        <v>0</v>
      </c>
      <c r="J44" s="53">
        <f t="shared" si="16"/>
        <v>0</v>
      </c>
      <c r="K44" s="53">
        <f t="shared" si="16"/>
        <v>7726</v>
      </c>
      <c r="L44" s="53">
        <f t="shared" si="16"/>
        <v>174</v>
      </c>
      <c r="M44" s="28">
        <f t="shared" si="3"/>
        <v>7900</v>
      </c>
      <c r="N44" s="27">
        <f t="shared" si="4"/>
        <v>0</v>
      </c>
      <c r="O44" s="6"/>
      <c r="Q44" s="2"/>
      <c r="R44" s="2"/>
      <c r="S44" s="2"/>
      <c r="T44" s="2"/>
      <c r="U44" s="2"/>
    </row>
    <row r="45" spans="1:21" ht="15" customHeight="1" x14ac:dyDescent="0.2">
      <c r="A45" s="63">
        <v>243</v>
      </c>
      <c r="B45" s="57" t="s">
        <v>347</v>
      </c>
      <c r="C45" s="53"/>
      <c r="D45" s="53"/>
      <c r="E45" s="56">
        <v>7900</v>
      </c>
      <c r="F45" s="56">
        <v>7900</v>
      </c>
      <c r="G45" s="53"/>
      <c r="H45" s="56">
        <v>0</v>
      </c>
      <c r="I45" s="70"/>
      <c r="J45" s="53"/>
      <c r="K45" s="56">
        <v>7726</v>
      </c>
      <c r="L45" s="56">
        <f t="shared" si="6"/>
        <v>174</v>
      </c>
      <c r="M45" s="28"/>
      <c r="N45" s="27"/>
      <c r="O45" s="6"/>
      <c r="Q45" s="2"/>
      <c r="R45" s="2"/>
      <c r="S45" s="2"/>
      <c r="T45" s="2"/>
      <c r="U45" s="2"/>
    </row>
    <row r="46" spans="1:21" s="4" customFormat="1" ht="15.75" customHeight="1" x14ac:dyDescent="0.2">
      <c r="A46" s="71">
        <v>250</v>
      </c>
      <c r="B46" s="60" t="s">
        <v>383</v>
      </c>
      <c r="C46" s="53"/>
      <c r="D46" s="53"/>
      <c r="E46" s="53">
        <f t="shared" ref="E46" si="17">+E49+E51+E48+E47+E50</f>
        <v>43398</v>
      </c>
      <c r="F46" s="53">
        <f t="shared" ref="F46" si="18">+F49+F51+F48+F47+F50</f>
        <v>43398</v>
      </c>
      <c r="G46" s="53">
        <f t="shared" ref="G46:J46" si="19">+G49+G51+G48+G47</f>
        <v>0</v>
      </c>
      <c r="H46" s="53">
        <f t="shared" si="19"/>
        <v>6217.51</v>
      </c>
      <c r="I46" s="53">
        <f t="shared" si="19"/>
        <v>9999.94</v>
      </c>
      <c r="J46" s="53">
        <f t="shared" si="19"/>
        <v>0</v>
      </c>
      <c r="K46" s="53">
        <f>+K49+K51+K48+K47+K50</f>
        <v>29934.61</v>
      </c>
      <c r="L46" s="53">
        <f>+F46-K46</f>
        <v>13463.39</v>
      </c>
      <c r="M46" s="28"/>
      <c r="N46" s="27"/>
      <c r="O46" s="6"/>
      <c r="Q46" s="35"/>
      <c r="R46" s="35"/>
      <c r="S46" s="35"/>
      <c r="T46" s="35"/>
      <c r="U46" s="35"/>
    </row>
    <row r="47" spans="1:21" s="22" customFormat="1" ht="15.75" customHeight="1" x14ac:dyDescent="0.2">
      <c r="A47" s="63">
        <v>252</v>
      </c>
      <c r="B47" s="57" t="s">
        <v>215</v>
      </c>
      <c r="C47" s="56"/>
      <c r="D47" s="56"/>
      <c r="E47" s="56">
        <v>1600</v>
      </c>
      <c r="F47" s="56">
        <v>1600</v>
      </c>
      <c r="G47" s="56"/>
      <c r="H47" s="56"/>
      <c r="I47" s="56"/>
      <c r="J47" s="56"/>
      <c r="K47" s="56">
        <v>1591</v>
      </c>
      <c r="L47" s="56">
        <f t="shared" si="6"/>
        <v>9</v>
      </c>
      <c r="M47" s="26"/>
      <c r="N47" s="30"/>
      <c r="O47" s="42"/>
      <c r="Q47" s="3"/>
      <c r="R47" s="3"/>
      <c r="S47" s="3"/>
      <c r="T47" s="3"/>
      <c r="U47" s="3"/>
    </row>
    <row r="48" spans="1:21" s="4" customFormat="1" ht="15.75" customHeight="1" x14ac:dyDescent="0.2">
      <c r="A48" s="63">
        <v>254</v>
      </c>
      <c r="B48" s="57" t="s">
        <v>391</v>
      </c>
      <c r="C48" s="53"/>
      <c r="D48" s="53"/>
      <c r="E48" s="56">
        <v>4500</v>
      </c>
      <c r="F48" s="56">
        <v>4500</v>
      </c>
      <c r="G48" s="53"/>
      <c r="H48" s="56">
        <v>4033.9</v>
      </c>
      <c r="I48" s="53"/>
      <c r="J48" s="53"/>
      <c r="K48" s="56">
        <v>909.5</v>
      </c>
      <c r="L48" s="56">
        <f t="shared" si="6"/>
        <v>3590.5</v>
      </c>
      <c r="M48" s="28"/>
      <c r="N48" s="27"/>
      <c r="O48" s="6"/>
      <c r="Q48" s="35"/>
      <c r="R48" s="35"/>
      <c r="S48" s="35"/>
      <c r="T48" s="35"/>
      <c r="U48" s="35"/>
    </row>
    <row r="49" spans="1:21" s="4" customFormat="1" ht="15.75" customHeight="1" x14ac:dyDescent="0.2">
      <c r="A49" s="63">
        <v>256</v>
      </c>
      <c r="B49" s="57" t="s">
        <v>386</v>
      </c>
      <c r="C49" s="53"/>
      <c r="D49" s="53"/>
      <c r="E49" s="56">
        <v>13649.96</v>
      </c>
      <c r="F49" s="56">
        <v>13649.96</v>
      </c>
      <c r="G49" s="56"/>
      <c r="H49" s="56">
        <v>2183.61</v>
      </c>
      <c r="I49" s="58"/>
      <c r="J49" s="56"/>
      <c r="K49" s="56">
        <v>12426.64</v>
      </c>
      <c r="L49" s="56">
        <f t="shared" si="6"/>
        <v>1223.3199999999997</v>
      </c>
      <c r="M49" s="28"/>
      <c r="N49" s="27"/>
      <c r="O49" s="6"/>
      <c r="Q49" s="35"/>
      <c r="R49" s="35"/>
      <c r="S49" s="35"/>
      <c r="T49" s="35"/>
      <c r="U49" s="35"/>
    </row>
    <row r="50" spans="1:21" s="4" customFormat="1" ht="15.75" customHeight="1" x14ac:dyDescent="0.2">
      <c r="A50" s="63">
        <v>257</v>
      </c>
      <c r="B50" s="57" t="s">
        <v>406</v>
      </c>
      <c r="C50" s="53"/>
      <c r="D50" s="53"/>
      <c r="E50" s="56">
        <v>970</v>
      </c>
      <c r="F50" s="56">
        <v>970</v>
      </c>
      <c r="G50" s="56"/>
      <c r="H50" s="56"/>
      <c r="I50" s="58"/>
      <c r="J50" s="56"/>
      <c r="K50" s="56">
        <v>930.47</v>
      </c>
      <c r="L50" s="56">
        <f t="shared" si="6"/>
        <v>39.529999999999973</v>
      </c>
      <c r="M50" s="28"/>
      <c r="N50" s="27"/>
      <c r="O50" s="6"/>
      <c r="Q50" s="35"/>
      <c r="R50" s="35"/>
      <c r="S50" s="35"/>
      <c r="T50" s="35"/>
      <c r="U50" s="35"/>
    </row>
    <row r="51" spans="1:21" ht="15.75" customHeight="1" x14ac:dyDescent="0.2">
      <c r="A51" s="64" t="s">
        <v>224</v>
      </c>
      <c r="B51" s="55" t="s">
        <v>344</v>
      </c>
      <c r="C51" s="56">
        <v>0</v>
      </c>
      <c r="D51" s="56">
        <v>53940</v>
      </c>
      <c r="E51" s="56">
        <v>22678.04</v>
      </c>
      <c r="F51" s="56">
        <v>22678.04</v>
      </c>
      <c r="G51" s="56"/>
      <c r="H51" s="56"/>
      <c r="I51" s="58">
        <v>9999.94</v>
      </c>
      <c r="J51" s="58">
        <v>0</v>
      </c>
      <c r="K51" s="56">
        <v>14077</v>
      </c>
      <c r="L51" s="56">
        <f t="shared" si="6"/>
        <v>8601.0400000000009</v>
      </c>
      <c r="M51" s="26">
        <f t="shared" si="3"/>
        <v>12678.1</v>
      </c>
      <c r="N51" s="27">
        <f t="shared" si="4"/>
        <v>44.095256909327261</v>
      </c>
      <c r="O51" s="6"/>
      <c r="Q51" s="2"/>
      <c r="R51" s="2"/>
      <c r="S51" s="2"/>
      <c r="T51" s="2"/>
      <c r="U51" s="2"/>
    </row>
    <row r="52" spans="1:21" ht="12.75" x14ac:dyDescent="0.2">
      <c r="A52" s="61" t="s">
        <v>226</v>
      </c>
      <c r="B52" s="60" t="s">
        <v>227</v>
      </c>
      <c r="C52" s="53">
        <f t="shared" ref="C52:J52" si="20">SUM(C53:C56)</f>
        <v>5575</v>
      </c>
      <c r="D52" s="53">
        <f t="shared" si="20"/>
        <v>26000</v>
      </c>
      <c r="E52" s="53">
        <f>SUM(E53:E56)</f>
        <v>51140</v>
      </c>
      <c r="F52" s="53">
        <f>SUM(F53:F56)</f>
        <v>51140</v>
      </c>
      <c r="G52" s="53">
        <f t="shared" si="20"/>
        <v>0</v>
      </c>
      <c r="H52" s="53">
        <f>SUM(H53:H56)</f>
        <v>27205.919999999998</v>
      </c>
      <c r="I52" s="53">
        <f t="shared" si="20"/>
        <v>674</v>
      </c>
      <c r="J52" s="53">
        <f t="shared" si="20"/>
        <v>0</v>
      </c>
      <c r="K52" s="53">
        <f>+K53+K54+K55+K56</f>
        <v>25401.4</v>
      </c>
      <c r="L52" s="53">
        <f t="shared" si="6"/>
        <v>25738.6</v>
      </c>
      <c r="M52" s="28">
        <f t="shared" si="3"/>
        <v>50466</v>
      </c>
      <c r="N52" s="27">
        <f t="shared" si="4"/>
        <v>1.3179507235041064</v>
      </c>
      <c r="Q52" s="2"/>
      <c r="R52" s="2"/>
      <c r="S52" s="2"/>
      <c r="T52" s="2"/>
      <c r="U52" s="2"/>
    </row>
    <row r="53" spans="1:21" ht="12.75" x14ac:dyDescent="0.2">
      <c r="A53" s="64" t="s">
        <v>229</v>
      </c>
      <c r="B53" s="55" t="s">
        <v>230</v>
      </c>
      <c r="C53" s="56">
        <v>0</v>
      </c>
      <c r="D53" s="58">
        <v>14000</v>
      </c>
      <c r="E53" s="56">
        <v>26000</v>
      </c>
      <c r="F53" s="56">
        <v>26000</v>
      </c>
      <c r="G53" s="56"/>
      <c r="H53" s="56">
        <v>23814</v>
      </c>
      <c r="I53" s="58">
        <v>674</v>
      </c>
      <c r="J53" s="58">
        <v>0</v>
      </c>
      <c r="K53" s="56">
        <v>9070.5400000000009</v>
      </c>
      <c r="L53" s="56">
        <f t="shared" si="6"/>
        <v>16929.46</v>
      </c>
      <c r="M53" s="26">
        <f t="shared" si="3"/>
        <v>25326</v>
      </c>
      <c r="N53" s="27">
        <f t="shared" si="4"/>
        <v>2.5923076923076924</v>
      </c>
      <c r="O53" s="6"/>
      <c r="Q53" s="2"/>
      <c r="R53" s="2"/>
      <c r="S53" s="2"/>
      <c r="T53" s="2"/>
      <c r="U53" s="2"/>
    </row>
    <row r="54" spans="1:21" ht="12.75" x14ac:dyDescent="0.2">
      <c r="A54" s="64">
        <v>263</v>
      </c>
      <c r="B54" s="55" t="s">
        <v>387</v>
      </c>
      <c r="C54" s="56"/>
      <c r="D54" s="58"/>
      <c r="E54" s="56">
        <v>2140</v>
      </c>
      <c r="F54" s="56">
        <v>2140</v>
      </c>
      <c r="G54" s="56"/>
      <c r="H54" s="56"/>
      <c r="I54" s="58"/>
      <c r="J54" s="58"/>
      <c r="K54" s="56">
        <v>0</v>
      </c>
      <c r="L54" s="56">
        <f t="shared" si="6"/>
        <v>2140</v>
      </c>
      <c r="M54" s="26"/>
      <c r="N54" s="27"/>
      <c r="O54" s="6"/>
      <c r="Q54" s="2"/>
      <c r="R54" s="2"/>
      <c r="S54" s="2"/>
      <c r="T54" s="2"/>
      <c r="U54" s="2"/>
    </row>
    <row r="55" spans="1:21" ht="12.75" x14ac:dyDescent="0.2">
      <c r="A55" s="64">
        <v>265</v>
      </c>
      <c r="B55" s="55" t="s">
        <v>348</v>
      </c>
      <c r="C55" s="56"/>
      <c r="D55" s="58"/>
      <c r="E55" s="56">
        <v>23000</v>
      </c>
      <c r="F55" s="56">
        <v>23000</v>
      </c>
      <c r="G55" s="56"/>
      <c r="H55" s="56">
        <v>3391.92</v>
      </c>
      <c r="I55" s="58"/>
      <c r="J55" s="58"/>
      <c r="K55" s="56">
        <v>16330.86</v>
      </c>
      <c r="L55" s="56">
        <f t="shared" si="6"/>
        <v>6669.1399999999994</v>
      </c>
      <c r="M55" s="26"/>
      <c r="N55" s="27">
        <f t="shared" si="4"/>
        <v>0</v>
      </c>
      <c r="O55" s="6"/>
      <c r="Q55" s="2"/>
      <c r="R55" s="2"/>
      <c r="S55" s="2"/>
      <c r="T55" s="2"/>
      <c r="U55" s="2"/>
    </row>
    <row r="56" spans="1:21" ht="12.75" x14ac:dyDescent="0.2">
      <c r="A56" s="64" t="s">
        <v>232</v>
      </c>
      <c r="B56" s="55" t="s">
        <v>233</v>
      </c>
      <c r="C56" s="56">
        <v>5575</v>
      </c>
      <c r="D56" s="58">
        <v>12000</v>
      </c>
      <c r="E56" s="56">
        <v>0</v>
      </c>
      <c r="F56" s="56">
        <v>0</v>
      </c>
      <c r="G56" s="58"/>
      <c r="H56" s="56"/>
      <c r="I56" s="58"/>
      <c r="J56" s="58">
        <v>0</v>
      </c>
      <c r="K56" s="56">
        <f t="shared" si="5"/>
        <v>0</v>
      </c>
      <c r="L56" s="56">
        <f t="shared" si="6"/>
        <v>0</v>
      </c>
      <c r="M56" s="26">
        <f t="shared" si="3"/>
        <v>0</v>
      </c>
      <c r="N56" s="27" t="e">
        <f t="shared" si="4"/>
        <v>#DIV/0!</v>
      </c>
      <c r="O56" s="6"/>
      <c r="Q56" s="2"/>
      <c r="R56" s="2"/>
      <c r="S56" s="2"/>
      <c r="T56" s="2"/>
      <c r="U56" s="2"/>
    </row>
    <row r="57" spans="1:21" ht="12.75" x14ac:dyDescent="0.2">
      <c r="A57" s="61" t="s">
        <v>234</v>
      </c>
      <c r="B57" s="60" t="s">
        <v>235</v>
      </c>
      <c r="C57" s="53">
        <f>+C59</f>
        <v>43925</v>
      </c>
      <c r="D57" s="53">
        <f>SUM(D60:D60)</f>
        <v>600</v>
      </c>
      <c r="E57" s="53">
        <f>+E59+E60+E61</f>
        <v>22027</v>
      </c>
      <c r="F57" s="53">
        <f>+F59+F60+F61</f>
        <v>22027</v>
      </c>
      <c r="G57" s="53">
        <f t="shared" ref="G57:K57" si="21">+G59+G60+G61</f>
        <v>0</v>
      </c>
      <c r="H57" s="53">
        <f t="shared" si="21"/>
        <v>2415.6800000000003</v>
      </c>
      <c r="I57" s="53">
        <f t="shared" si="21"/>
        <v>0</v>
      </c>
      <c r="J57" s="53">
        <f t="shared" si="21"/>
        <v>0</v>
      </c>
      <c r="K57" s="53">
        <f t="shared" si="21"/>
        <v>10472.52</v>
      </c>
      <c r="L57" s="53">
        <f t="shared" si="6"/>
        <v>11554.48</v>
      </c>
      <c r="M57" s="28">
        <f t="shared" si="3"/>
        <v>22027</v>
      </c>
      <c r="N57" s="27">
        <f t="shared" si="4"/>
        <v>0</v>
      </c>
      <c r="O57" s="6"/>
      <c r="Q57" s="2"/>
      <c r="R57" s="2"/>
      <c r="S57" s="2"/>
      <c r="T57" s="2"/>
      <c r="U57" s="2"/>
    </row>
    <row r="58" spans="1:21" ht="12.75" hidden="1" x14ac:dyDescent="0.2">
      <c r="A58" s="63">
        <v>271</v>
      </c>
      <c r="B58" s="57" t="s">
        <v>237</v>
      </c>
      <c r="C58" s="56">
        <v>0</v>
      </c>
      <c r="D58" s="56"/>
      <c r="E58" s="56">
        <v>2828</v>
      </c>
      <c r="F58" s="56">
        <v>2828</v>
      </c>
      <c r="G58" s="53"/>
      <c r="H58" s="56">
        <v>0</v>
      </c>
      <c r="I58" s="70"/>
      <c r="J58" s="53"/>
      <c r="K58" s="53">
        <f t="shared" si="5"/>
        <v>0</v>
      </c>
      <c r="L58" s="53">
        <f t="shared" si="6"/>
        <v>2828</v>
      </c>
      <c r="M58" s="28"/>
      <c r="N58" s="27"/>
      <c r="O58" s="6"/>
      <c r="Q58" s="2"/>
      <c r="R58" s="2"/>
      <c r="S58" s="2"/>
      <c r="T58" s="2"/>
      <c r="U58" s="2"/>
    </row>
    <row r="59" spans="1:21" ht="12.75" x14ac:dyDescent="0.2">
      <c r="A59" s="63">
        <v>274</v>
      </c>
      <c r="B59" s="57" t="s">
        <v>372</v>
      </c>
      <c r="C59" s="56">
        <v>43925</v>
      </c>
      <c r="D59" s="53"/>
      <c r="E59" s="56">
        <v>10027</v>
      </c>
      <c r="F59" s="56">
        <v>10027</v>
      </c>
      <c r="G59" s="56"/>
      <c r="H59" s="56">
        <v>1345.68</v>
      </c>
      <c r="I59" s="58"/>
      <c r="J59" s="53"/>
      <c r="K59" s="56">
        <v>2729.89</v>
      </c>
      <c r="L59" s="56">
        <f t="shared" si="6"/>
        <v>7297.1100000000006</v>
      </c>
      <c r="M59" s="28"/>
      <c r="N59" s="27"/>
      <c r="O59" s="6"/>
      <c r="Q59" s="2"/>
      <c r="R59" s="2"/>
      <c r="S59" s="2"/>
      <c r="T59" s="2"/>
      <c r="U59" s="2"/>
    </row>
    <row r="60" spans="1:21" ht="12" customHeight="1" x14ac:dyDescent="0.2">
      <c r="A60" s="64">
        <v>275</v>
      </c>
      <c r="B60" s="55" t="s">
        <v>388</v>
      </c>
      <c r="C60" s="56">
        <v>0</v>
      </c>
      <c r="D60" s="58">
        <v>600</v>
      </c>
      <c r="E60" s="56">
        <v>3000</v>
      </c>
      <c r="F60" s="56">
        <v>3000</v>
      </c>
      <c r="G60" s="58"/>
      <c r="H60" s="56">
        <v>1070</v>
      </c>
      <c r="I60" s="58"/>
      <c r="J60" s="58">
        <v>0</v>
      </c>
      <c r="K60" s="56">
        <v>1605</v>
      </c>
      <c r="L60" s="56">
        <f t="shared" si="6"/>
        <v>1395</v>
      </c>
      <c r="M60" s="26">
        <f t="shared" si="3"/>
        <v>3000</v>
      </c>
      <c r="N60" s="27">
        <f t="shared" si="4"/>
        <v>0</v>
      </c>
      <c r="O60" s="6"/>
      <c r="Q60" s="2"/>
      <c r="R60" s="2"/>
      <c r="S60" s="2"/>
      <c r="T60" s="2"/>
      <c r="U60" s="2"/>
    </row>
    <row r="61" spans="1:21" ht="12" customHeight="1" x14ac:dyDescent="0.2">
      <c r="A61" s="64">
        <v>279</v>
      </c>
      <c r="B61" s="55" t="s">
        <v>408</v>
      </c>
      <c r="C61" s="56"/>
      <c r="D61" s="58"/>
      <c r="E61" s="56">
        <v>9000</v>
      </c>
      <c r="F61" s="56">
        <v>9000</v>
      </c>
      <c r="G61" s="58"/>
      <c r="H61" s="56"/>
      <c r="I61" s="58"/>
      <c r="J61" s="58"/>
      <c r="K61" s="56">
        <v>6137.63</v>
      </c>
      <c r="L61" s="56">
        <f t="shared" si="6"/>
        <v>2862.37</v>
      </c>
      <c r="M61" s="26"/>
      <c r="N61" s="27"/>
      <c r="O61" s="6"/>
      <c r="Q61" s="2"/>
      <c r="R61" s="2"/>
      <c r="S61" s="2"/>
      <c r="T61" s="2"/>
      <c r="U61" s="2"/>
    </row>
    <row r="62" spans="1:21" ht="15" customHeight="1" x14ac:dyDescent="0.2">
      <c r="A62" s="61" t="s">
        <v>250</v>
      </c>
      <c r="B62" s="60" t="s">
        <v>251</v>
      </c>
      <c r="C62" s="53">
        <v>0</v>
      </c>
      <c r="D62" s="53">
        <v>8000</v>
      </c>
      <c r="E62" s="53">
        <v>1582</v>
      </c>
      <c r="F62" s="53">
        <v>1582</v>
      </c>
      <c r="G62" s="53"/>
      <c r="H62" s="53">
        <v>491.86</v>
      </c>
      <c r="I62" s="70"/>
      <c r="J62" s="70">
        <v>0</v>
      </c>
      <c r="K62" s="53">
        <v>10.45</v>
      </c>
      <c r="L62" s="56">
        <f t="shared" si="6"/>
        <v>1571.55</v>
      </c>
      <c r="M62" s="28">
        <f t="shared" si="3"/>
        <v>1582</v>
      </c>
      <c r="N62" s="27">
        <f t="shared" si="4"/>
        <v>0</v>
      </c>
      <c r="O62" s="6"/>
      <c r="Q62" s="2"/>
      <c r="R62" s="2"/>
      <c r="S62" s="2"/>
      <c r="T62" s="2"/>
      <c r="U62" s="2"/>
    </row>
    <row r="63" spans="1:21" ht="18" customHeight="1" x14ac:dyDescent="0.2">
      <c r="A63" s="51" t="s">
        <v>257</v>
      </c>
      <c r="B63" s="52" t="s">
        <v>258</v>
      </c>
      <c r="C63" s="53">
        <f>+C64+C72+C76+C77</f>
        <v>1997624</v>
      </c>
      <c r="D63" s="53">
        <f>+D64+D72+D73+D76+D77+D78</f>
        <v>488112</v>
      </c>
      <c r="E63" s="53">
        <f>+E64+E71+E72+E73+E74+E75+E76+E77+E79</f>
        <v>2713498</v>
      </c>
      <c r="F63" s="53">
        <f>+F64+F71+F72+F73+F74+F75+F76+F77+F79</f>
        <v>2713498</v>
      </c>
      <c r="G63" s="53">
        <f t="shared" ref="G63:K63" si="22">+G64+G71+G72+G73+G74+G75+G76+G77+G79</f>
        <v>0</v>
      </c>
      <c r="H63" s="53">
        <f t="shared" ref="H63" si="23">+H64+H71+H72+H73+H74+H75+H76+H77+H79</f>
        <v>1814112.2</v>
      </c>
      <c r="I63" s="53">
        <f t="shared" si="22"/>
        <v>433748.49</v>
      </c>
      <c r="J63" s="53">
        <f>+J64+J72+J76+J77</f>
        <v>0</v>
      </c>
      <c r="K63" s="53">
        <f t="shared" si="22"/>
        <v>2422632.46</v>
      </c>
      <c r="L63" s="53">
        <f t="shared" si="6"/>
        <v>290865.54000000004</v>
      </c>
      <c r="M63" s="24" t="e">
        <f>+M64+M72+#REF!+M76+M77+M78</f>
        <v>#REF!</v>
      </c>
      <c r="N63" s="27">
        <f t="shared" si="4"/>
        <v>15.98484649703077</v>
      </c>
      <c r="O63" s="6"/>
      <c r="Q63" s="2"/>
      <c r="R63" s="2"/>
      <c r="S63" s="2"/>
      <c r="T63" s="2"/>
      <c r="U63" s="2"/>
    </row>
    <row r="64" spans="1:21" ht="12" customHeight="1" x14ac:dyDescent="0.2">
      <c r="A64" s="71">
        <v>300</v>
      </c>
      <c r="B64" s="52" t="s">
        <v>259</v>
      </c>
      <c r="C64" s="70">
        <f>+C65+C67</f>
        <v>35001</v>
      </c>
      <c r="D64" s="70">
        <f>SUM(D67:D67)</f>
        <v>79534</v>
      </c>
      <c r="E64" s="70">
        <f>+E65+E67+E69+E70+E66+E68</f>
        <v>146832</v>
      </c>
      <c r="F64" s="70">
        <f>+F65+F67+F69+F70+F66+F68</f>
        <v>146832</v>
      </c>
      <c r="G64" s="70">
        <f t="shared" ref="G64" si="24">+G65+G67+G69+G70+G66+G68</f>
        <v>0</v>
      </c>
      <c r="H64" s="70">
        <f t="shared" ref="H64" si="25">+H65+H67+H69+H70+H66+H68</f>
        <v>224026.69999999998</v>
      </c>
      <c r="I64" s="70">
        <f>+I65+I67+I69+I70+I66+I68</f>
        <v>3272.45</v>
      </c>
      <c r="J64" s="70">
        <f t="shared" ref="J64" si="26">+J65+J67+J69+J70+J66</f>
        <v>0</v>
      </c>
      <c r="K64" s="70">
        <f t="shared" ref="K64" si="27">+K65+K67+K69+K70+K66+K68</f>
        <v>115049.26999999999</v>
      </c>
      <c r="L64" s="53">
        <f t="shared" si="6"/>
        <v>31782.73000000001</v>
      </c>
      <c r="M64" s="28">
        <f t="shared" si="3"/>
        <v>143559.54999999999</v>
      </c>
      <c r="N64" s="27">
        <f t="shared" si="4"/>
        <v>2.2287035523591587</v>
      </c>
      <c r="O64" s="6"/>
      <c r="Q64" s="2"/>
      <c r="R64" s="2"/>
      <c r="S64" s="2"/>
      <c r="T64" s="2"/>
      <c r="U64" s="2"/>
    </row>
    <row r="65" spans="1:21" ht="16.5" customHeight="1" x14ac:dyDescent="0.2">
      <c r="A65" s="63">
        <v>301</v>
      </c>
      <c r="B65" s="55" t="s">
        <v>353</v>
      </c>
      <c r="C65" s="58"/>
      <c r="D65" s="58"/>
      <c r="E65" s="58">
        <v>3500</v>
      </c>
      <c r="F65" s="58">
        <v>3500</v>
      </c>
      <c r="G65" s="70"/>
      <c r="H65" s="56">
        <v>2753.11</v>
      </c>
      <c r="I65" s="58">
        <v>342.45</v>
      </c>
      <c r="J65" s="70"/>
      <c r="K65" s="56">
        <v>3156.37</v>
      </c>
      <c r="L65" s="56">
        <f t="shared" si="6"/>
        <v>343.63000000000011</v>
      </c>
      <c r="M65" s="28"/>
      <c r="N65" s="27"/>
      <c r="O65" s="6"/>
      <c r="Q65" s="2"/>
      <c r="R65" s="2"/>
      <c r="S65" s="2"/>
      <c r="T65" s="2"/>
      <c r="U65" s="2"/>
    </row>
    <row r="66" spans="1:21" ht="16.5" customHeight="1" x14ac:dyDescent="0.2">
      <c r="A66" s="63">
        <v>303</v>
      </c>
      <c r="B66" s="55" t="s">
        <v>389</v>
      </c>
      <c r="C66" s="58"/>
      <c r="D66" s="58"/>
      <c r="E66" s="58">
        <v>15500</v>
      </c>
      <c r="F66" s="58">
        <v>15500</v>
      </c>
      <c r="G66" s="70"/>
      <c r="H66" s="56">
        <v>14083.24</v>
      </c>
      <c r="I66" s="58"/>
      <c r="J66" s="70"/>
      <c r="K66" s="56">
        <v>14726</v>
      </c>
      <c r="L66" s="56">
        <f t="shared" si="6"/>
        <v>774</v>
      </c>
      <c r="M66" s="28"/>
      <c r="N66" s="27"/>
      <c r="O66" s="6"/>
      <c r="Q66" s="2"/>
      <c r="R66" s="2"/>
      <c r="S66" s="2"/>
      <c r="T66" s="2"/>
      <c r="U66" s="2"/>
    </row>
    <row r="67" spans="1:21" ht="15" customHeight="1" x14ac:dyDescent="0.2">
      <c r="A67" s="63">
        <v>304</v>
      </c>
      <c r="B67" s="55" t="s">
        <v>373</v>
      </c>
      <c r="C67" s="56">
        <v>35001</v>
      </c>
      <c r="D67" s="56">
        <v>79534</v>
      </c>
      <c r="E67" s="56">
        <v>120500</v>
      </c>
      <c r="F67" s="56">
        <v>120500</v>
      </c>
      <c r="G67" s="70"/>
      <c r="H67" s="56">
        <v>202000</v>
      </c>
      <c r="I67" s="58">
        <v>2247</v>
      </c>
      <c r="J67" s="58"/>
      <c r="K67" s="56">
        <v>91351</v>
      </c>
      <c r="L67" s="56">
        <f t="shared" si="6"/>
        <v>29149</v>
      </c>
      <c r="M67" s="26">
        <f t="shared" si="3"/>
        <v>118253</v>
      </c>
      <c r="N67" s="27">
        <f t="shared" si="4"/>
        <v>1.8647302904564316</v>
      </c>
      <c r="O67" s="6"/>
      <c r="Q67" s="2"/>
      <c r="R67" s="2"/>
      <c r="S67" s="2"/>
      <c r="T67" s="2"/>
      <c r="U67" s="2"/>
    </row>
    <row r="68" spans="1:21" ht="15" customHeight="1" x14ac:dyDescent="0.2">
      <c r="A68" s="63">
        <v>305</v>
      </c>
      <c r="B68" s="55" t="s">
        <v>392</v>
      </c>
      <c r="C68" s="56"/>
      <c r="D68" s="56"/>
      <c r="E68" s="56">
        <v>562</v>
      </c>
      <c r="F68" s="56">
        <v>562</v>
      </c>
      <c r="G68" s="70"/>
      <c r="H68" s="56">
        <v>567</v>
      </c>
      <c r="I68" s="58"/>
      <c r="J68" s="58"/>
      <c r="K68" s="56">
        <v>562</v>
      </c>
      <c r="L68" s="56">
        <f t="shared" si="6"/>
        <v>0</v>
      </c>
      <c r="M68" s="26"/>
      <c r="N68" s="27"/>
      <c r="O68" s="6"/>
      <c r="Q68" s="2"/>
      <c r="R68" s="2"/>
      <c r="S68" s="2"/>
      <c r="T68" s="2"/>
      <c r="U68" s="2"/>
    </row>
    <row r="69" spans="1:21" ht="15" customHeight="1" x14ac:dyDescent="0.2">
      <c r="A69" s="63">
        <v>307</v>
      </c>
      <c r="B69" s="55" t="s">
        <v>384</v>
      </c>
      <c r="C69" s="56"/>
      <c r="D69" s="56"/>
      <c r="E69" s="56">
        <v>1000</v>
      </c>
      <c r="F69" s="56">
        <v>1000</v>
      </c>
      <c r="G69" s="70"/>
      <c r="H69" s="56"/>
      <c r="I69" s="58">
        <v>683</v>
      </c>
      <c r="J69" s="58"/>
      <c r="K69" s="56">
        <v>683.45</v>
      </c>
      <c r="L69" s="56">
        <f t="shared" si="6"/>
        <v>316.54999999999995</v>
      </c>
      <c r="M69" s="26"/>
      <c r="N69" s="27">
        <f t="shared" si="4"/>
        <v>68.3</v>
      </c>
      <c r="O69" s="6"/>
      <c r="Q69" s="2"/>
      <c r="R69" s="2"/>
      <c r="S69" s="2"/>
      <c r="T69" s="2"/>
      <c r="U69" s="2"/>
    </row>
    <row r="70" spans="1:21" ht="15" customHeight="1" x14ac:dyDescent="0.2">
      <c r="A70" s="63">
        <v>308</v>
      </c>
      <c r="B70" s="55" t="s">
        <v>385</v>
      </c>
      <c r="C70" s="56"/>
      <c r="D70" s="56"/>
      <c r="E70" s="56">
        <v>5770</v>
      </c>
      <c r="F70" s="56">
        <v>5770</v>
      </c>
      <c r="G70" s="70"/>
      <c r="H70" s="56">
        <v>4623.3500000000004</v>
      </c>
      <c r="I70" s="58"/>
      <c r="J70" s="58"/>
      <c r="K70" s="56">
        <v>4570.45</v>
      </c>
      <c r="L70" s="56">
        <f t="shared" si="6"/>
        <v>1199.5500000000002</v>
      </c>
      <c r="M70" s="26"/>
      <c r="N70" s="27">
        <f t="shared" si="4"/>
        <v>0</v>
      </c>
      <c r="O70" s="6"/>
      <c r="Q70" s="2"/>
      <c r="R70" s="2"/>
      <c r="S70" s="2"/>
      <c r="T70" s="2"/>
      <c r="U70" s="2"/>
    </row>
    <row r="71" spans="1:21" ht="15" customHeight="1" x14ac:dyDescent="0.2">
      <c r="A71" s="71">
        <v>310</v>
      </c>
      <c r="B71" s="52" t="s">
        <v>349</v>
      </c>
      <c r="C71" s="56"/>
      <c r="D71" s="56"/>
      <c r="E71" s="53">
        <v>340000</v>
      </c>
      <c r="F71" s="53">
        <v>340000</v>
      </c>
      <c r="G71" s="70"/>
      <c r="H71" s="53">
        <v>157507</v>
      </c>
      <c r="I71" s="70"/>
      <c r="J71" s="58"/>
      <c r="K71" s="53">
        <v>334529.8</v>
      </c>
      <c r="L71" s="53">
        <f t="shared" si="6"/>
        <v>5470.2000000000116</v>
      </c>
      <c r="M71" s="26"/>
      <c r="N71" s="27">
        <f t="shared" si="4"/>
        <v>0</v>
      </c>
      <c r="O71" s="6"/>
      <c r="Q71" s="2"/>
      <c r="R71" s="2"/>
      <c r="S71" s="2"/>
      <c r="T71" s="2"/>
      <c r="U71" s="2"/>
    </row>
    <row r="72" spans="1:21" ht="14.25" customHeight="1" x14ac:dyDescent="0.2">
      <c r="A72" s="71">
        <v>320</v>
      </c>
      <c r="B72" s="60" t="s">
        <v>261</v>
      </c>
      <c r="C72" s="53">
        <v>231387</v>
      </c>
      <c r="D72" s="53">
        <v>-234093</v>
      </c>
      <c r="E72" s="53">
        <v>326673</v>
      </c>
      <c r="F72" s="53">
        <v>326673</v>
      </c>
      <c r="G72" s="70"/>
      <c r="H72" s="53">
        <v>350755.24</v>
      </c>
      <c r="I72" s="70">
        <v>12072.37</v>
      </c>
      <c r="J72" s="70">
        <v>0</v>
      </c>
      <c r="K72" s="53">
        <v>303899.39</v>
      </c>
      <c r="L72" s="53">
        <f t="shared" si="6"/>
        <v>22773.609999999986</v>
      </c>
      <c r="M72" s="28">
        <f t="shared" si="3"/>
        <v>314600.63</v>
      </c>
      <c r="N72" s="27">
        <f t="shared" si="4"/>
        <v>3.6955518209340839</v>
      </c>
      <c r="O72" s="7"/>
      <c r="Q72" s="2"/>
      <c r="R72" s="2"/>
      <c r="S72" s="2"/>
      <c r="T72" s="2"/>
      <c r="U72" s="2"/>
    </row>
    <row r="73" spans="1:21" ht="14.25" customHeight="1" x14ac:dyDescent="0.2">
      <c r="A73" s="71">
        <v>330</v>
      </c>
      <c r="B73" s="60" t="s">
        <v>357</v>
      </c>
      <c r="C73" s="53">
        <v>0</v>
      </c>
      <c r="D73" s="53">
        <v>289082</v>
      </c>
      <c r="E73" s="53">
        <v>16500</v>
      </c>
      <c r="F73" s="53">
        <v>16500</v>
      </c>
      <c r="G73" s="70"/>
      <c r="H73" s="53">
        <v>13471</v>
      </c>
      <c r="I73" s="70">
        <v>2300.5</v>
      </c>
      <c r="J73" s="58"/>
      <c r="K73" s="53">
        <v>14329</v>
      </c>
      <c r="L73" s="53">
        <f t="shared" si="6"/>
        <v>2171</v>
      </c>
      <c r="M73" s="28"/>
      <c r="N73" s="27" t="e">
        <f>+#REF!*100/#REF!</f>
        <v>#REF!</v>
      </c>
      <c r="O73" s="7"/>
      <c r="Q73" s="2"/>
      <c r="R73" s="2"/>
      <c r="S73" s="2"/>
      <c r="T73" s="2"/>
      <c r="U73" s="2"/>
    </row>
    <row r="74" spans="1:21" ht="14.25" customHeight="1" x14ac:dyDescent="0.2">
      <c r="A74" s="71">
        <v>340</v>
      </c>
      <c r="B74" s="60" t="s">
        <v>97</v>
      </c>
      <c r="C74" s="53"/>
      <c r="D74" s="53"/>
      <c r="E74" s="53">
        <v>2000</v>
      </c>
      <c r="F74" s="53">
        <v>2000</v>
      </c>
      <c r="G74" s="70"/>
      <c r="H74" s="53"/>
      <c r="I74" s="70">
        <v>1279</v>
      </c>
      <c r="J74" s="70"/>
      <c r="K74" s="53">
        <f t="shared" ref="K74:K95" si="28">+I74+H74</f>
        <v>1279</v>
      </c>
      <c r="L74" s="53">
        <f t="shared" si="6"/>
        <v>721</v>
      </c>
      <c r="M74" s="28"/>
      <c r="N74" s="27"/>
      <c r="O74" s="7"/>
      <c r="Q74" s="2"/>
      <c r="R74" s="2"/>
      <c r="S74" s="2"/>
      <c r="T74" s="2"/>
      <c r="U74" s="2"/>
    </row>
    <row r="75" spans="1:21" ht="14.25" customHeight="1" x14ac:dyDescent="0.2">
      <c r="A75" s="71">
        <v>350</v>
      </c>
      <c r="B75" s="60" t="s">
        <v>263</v>
      </c>
      <c r="C75" s="53">
        <v>0</v>
      </c>
      <c r="D75" s="53"/>
      <c r="E75" s="53">
        <v>92000</v>
      </c>
      <c r="F75" s="53">
        <v>92000</v>
      </c>
      <c r="G75" s="70"/>
      <c r="H75" s="53">
        <v>25712.26</v>
      </c>
      <c r="I75" s="70">
        <v>9353.17</v>
      </c>
      <c r="J75" s="58"/>
      <c r="K75" s="53">
        <v>81249</v>
      </c>
      <c r="L75" s="53">
        <f t="shared" si="6"/>
        <v>10751</v>
      </c>
      <c r="M75" s="26">
        <f t="shared" si="3"/>
        <v>82646.83</v>
      </c>
      <c r="N75" s="27">
        <f t="shared" si="4"/>
        <v>10.166489130434783</v>
      </c>
      <c r="O75" s="6"/>
      <c r="Q75" s="2"/>
      <c r="R75" s="2"/>
      <c r="S75" s="2"/>
      <c r="T75" s="2"/>
      <c r="U75" s="2"/>
    </row>
    <row r="76" spans="1:21" ht="12.75" x14ac:dyDescent="0.2">
      <c r="A76" s="71">
        <v>370</v>
      </c>
      <c r="B76" s="60" t="s">
        <v>264</v>
      </c>
      <c r="C76" s="53">
        <v>978130</v>
      </c>
      <c r="D76" s="53">
        <v>101650</v>
      </c>
      <c r="E76" s="53">
        <v>888080</v>
      </c>
      <c r="F76" s="53">
        <v>888080</v>
      </c>
      <c r="G76" s="70"/>
      <c r="H76" s="53">
        <v>608988</v>
      </c>
      <c r="I76" s="70">
        <v>155464</v>
      </c>
      <c r="J76" s="70">
        <v>0</v>
      </c>
      <c r="K76" s="53">
        <v>736563</v>
      </c>
      <c r="L76" s="53">
        <f t="shared" ref="L76:L96" si="29">+F76-K76</f>
        <v>151517</v>
      </c>
      <c r="M76" s="28">
        <f t="shared" si="3"/>
        <v>732616</v>
      </c>
      <c r="N76" s="27">
        <f t="shared" si="4"/>
        <v>17.505630123412306</v>
      </c>
      <c r="O76" s="6" t="s">
        <v>2</v>
      </c>
      <c r="Q76" s="2"/>
      <c r="R76" s="2"/>
      <c r="S76" s="2"/>
      <c r="T76" s="2"/>
      <c r="U76" s="2"/>
    </row>
    <row r="77" spans="1:21" ht="12.75" x14ac:dyDescent="0.2">
      <c r="A77" s="71">
        <v>380</v>
      </c>
      <c r="B77" s="60" t="s">
        <v>265</v>
      </c>
      <c r="C77" s="53">
        <v>753106</v>
      </c>
      <c r="D77" s="53">
        <v>244089</v>
      </c>
      <c r="E77" s="53">
        <v>897968</v>
      </c>
      <c r="F77" s="53">
        <v>897968</v>
      </c>
      <c r="G77" s="70"/>
      <c r="H77" s="53">
        <v>433652</v>
      </c>
      <c r="I77" s="70">
        <v>250007</v>
      </c>
      <c r="J77" s="70">
        <v>0</v>
      </c>
      <c r="K77" s="53">
        <v>832289</v>
      </c>
      <c r="L77" s="53">
        <f t="shared" si="29"/>
        <v>65679</v>
      </c>
      <c r="M77" s="28">
        <f t="shared" si="3"/>
        <v>647961</v>
      </c>
      <c r="N77" s="27">
        <f t="shared" si="4"/>
        <v>27.841415284286299</v>
      </c>
      <c r="O77" s="6"/>
      <c r="Q77" s="2"/>
      <c r="R77" s="2"/>
      <c r="S77" s="2"/>
      <c r="T77" s="2"/>
      <c r="U77" s="2"/>
    </row>
    <row r="78" spans="1:21" ht="14.25" hidden="1" customHeight="1" x14ac:dyDescent="0.2">
      <c r="A78" s="71">
        <v>390</v>
      </c>
      <c r="B78" s="60" t="s">
        <v>332</v>
      </c>
      <c r="C78" s="53"/>
      <c r="D78" s="53">
        <v>7850</v>
      </c>
      <c r="E78" s="53"/>
      <c r="F78" s="53"/>
      <c r="G78" s="58"/>
      <c r="H78" s="53"/>
      <c r="I78" s="70"/>
      <c r="J78" s="58"/>
      <c r="K78" s="53">
        <f t="shared" si="28"/>
        <v>0</v>
      </c>
      <c r="L78" s="56">
        <f t="shared" si="29"/>
        <v>0</v>
      </c>
      <c r="M78" s="28">
        <f>+E78-I78</f>
        <v>0</v>
      </c>
      <c r="N78" s="27" t="e">
        <f t="shared" si="4"/>
        <v>#DIV/0!</v>
      </c>
      <c r="O78" s="6"/>
      <c r="Q78" s="2"/>
      <c r="R78" s="2"/>
      <c r="S78" s="2"/>
      <c r="T78" s="2"/>
      <c r="U78" s="2"/>
    </row>
    <row r="79" spans="1:21" ht="14.25" customHeight="1" x14ac:dyDescent="0.2">
      <c r="A79" s="71">
        <v>390</v>
      </c>
      <c r="B79" s="60" t="s">
        <v>377</v>
      </c>
      <c r="C79" s="53"/>
      <c r="D79" s="53"/>
      <c r="E79" s="53">
        <v>3445</v>
      </c>
      <c r="F79" s="53">
        <v>3445</v>
      </c>
      <c r="G79" s="58"/>
      <c r="H79" s="53"/>
      <c r="I79" s="70"/>
      <c r="J79" s="58"/>
      <c r="K79" s="53">
        <v>3445</v>
      </c>
      <c r="L79" s="56">
        <f t="shared" si="29"/>
        <v>0</v>
      </c>
      <c r="M79" s="28"/>
      <c r="N79" s="27"/>
      <c r="O79" s="6"/>
      <c r="Q79" s="2"/>
      <c r="R79" s="2"/>
      <c r="S79" s="2"/>
      <c r="T79" s="2"/>
      <c r="U79" s="2"/>
    </row>
    <row r="80" spans="1:21" ht="18" customHeight="1" x14ac:dyDescent="0.2">
      <c r="A80" s="71">
        <v>4</v>
      </c>
      <c r="B80" s="60" t="s">
        <v>394</v>
      </c>
      <c r="C80" s="53"/>
      <c r="D80" s="53"/>
      <c r="E80" s="53">
        <f>+E81</f>
        <v>262.92</v>
      </c>
      <c r="F80" s="53">
        <f>+F81</f>
        <v>262.92</v>
      </c>
      <c r="G80" s="58"/>
      <c r="H80" s="53">
        <f>+H81</f>
        <v>0</v>
      </c>
      <c r="I80" s="70">
        <f>+I81</f>
        <v>262.92</v>
      </c>
      <c r="J80" s="58"/>
      <c r="K80" s="53">
        <f t="shared" si="28"/>
        <v>262.92</v>
      </c>
      <c r="L80" s="53">
        <f t="shared" si="29"/>
        <v>0</v>
      </c>
      <c r="M80" s="28"/>
      <c r="N80" s="27"/>
      <c r="O80" s="6"/>
      <c r="Q80" s="2"/>
      <c r="R80" s="2"/>
      <c r="S80" s="2"/>
      <c r="T80" s="2"/>
      <c r="U80" s="2"/>
    </row>
    <row r="81" spans="1:21" ht="12.75" customHeight="1" x14ac:dyDescent="0.2">
      <c r="A81" s="71">
        <v>400</v>
      </c>
      <c r="B81" s="60" t="s">
        <v>395</v>
      </c>
      <c r="C81" s="53"/>
      <c r="D81" s="53"/>
      <c r="E81" s="53">
        <v>262.92</v>
      </c>
      <c r="F81" s="53">
        <v>262.92</v>
      </c>
      <c r="G81" s="58"/>
      <c r="H81" s="53"/>
      <c r="I81" s="70">
        <v>262.92</v>
      </c>
      <c r="J81" s="58"/>
      <c r="K81" s="53">
        <v>263</v>
      </c>
      <c r="L81" s="53">
        <f t="shared" si="29"/>
        <v>-7.9999999999984084E-2</v>
      </c>
      <c r="M81" s="28"/>
      <c r="N81" s="27"/>
      <c r="O81" s="6"/>
      <c r="Q81" s="2"/>
      <c r="R81" s="2"/>
      <c r="S81" s="2"/>
      <c r="T81" s="2"/>
      <c r="U81" s="2"/>
    </row>
    <row r="82" spans="1:21" ht="17.25" customHeight="1" x14ac:dyDescent="0.2">
      <c r="A82" s="71">
        <v>5</v>
      </c>
      <c r="B82" s="60" t="s">
        <v>339</v>
      </c>
      <c r="C82" s="53" t="e">
        <f>+C83+C85+#REF!</f>
        <v>#REF!</v>
      </c>
      <c r="D82" s="53">
        <f>+D83+D85</f>
        <v>248032</v>
      </c>
      <c r="E82" s="53">
        <f>+E83+E85+E87</f>
        <v>20168515</v>
      </c>
      <c r="F82" s="53">
        <f>+F83+F85+F87</f>
        <v>20168515</v>
      </c>
      <c r="G82" s="53" t="e">
        <f>+G83+G85+#REF!+G87</f>
        <v>#REF!</v>
      </c>
      <c r="H82" s="53" t="e">
        <f>+H83+H85+#REF!+H87</f>
        <v>#REF!</v>
      </c>
      <c r="I82" s="53" t="e">
        <f>+I83+I85+#REF!+I87</f>
        <v>#REF!</v>
      </c>
      <c r="J82" s="53" t="e">
        <f>+J83+J85+#REF!+J87</f>
        <v>#REF!</v>
      </c>
      <c r="K82" s="53">
        <f>+K83+K85+K87</f>
        <v>20168514.32</v>
      </c>
      <c r="L82" s="53">
        <f t="shared" si="29"/>
        <v>0.67999999970197678</v>
      </c>
      <c r="M82" s="28" t="e">
        <f t="shared" si="3"/>
        <v>#REF!</v>
      </c>
      <c r="N82" s="27" t="e">
        <f t="shared" si="4"/>
        <v>#REF!</v>
      </c>
      <c r="O82" s="6"/>
      <c r="Q82" s="2"/>
      <c r="R82" s="2"/>
      <c r="S82" s="2"/>
      <c r="T82" s="2"/>
      <c r="U82" s="2"/>
    </row>
    <row r="83" spans="1:21" ht="12" customHeight="1" x14ac:dyDescent="0.2">
      <c r="A83" s="71">
        <v>500</v>
      </c>
      <c r="B83" s="60" t="s">
        <v>342</v>
      </c>
      <c r="C83" s="53">
        <f>SUM(C84)</f>
        <v>0</v>
      </c>
      <c r="D83" s="60">
        <f>SUM(D84)</f>
        <v>135613</v>
      </c>
      <c r="E83" s="53">
        <f>SUM(E84)</f>
        <v>29430</v>
      </c>
      <c r="F83" s="53">
        <f>SUM(F84)</f>
        <v>29430</v>
      </c>
      <c r="G83" s="53"/>
      <c r="H83" s="53">
        <f>+H84</f>
        <v>0</v>
      </c>
      <c r="I83" s="53">
        <f>+I84</f>
        <v>29429.87</v>
      </c>
      <c r="J83" s="53">
        <f>+J84</f>
        <v>0</v>
      </c>
      <c r="K83" s="53">
        <f>+K84</f>
        <v>29429.87</v>
      </c>
      <c r="L83" s="53">
        <f t="shared" si="29"/>
        <v>0.13000000000101863</v>
      </c>
      <c r="M83" s="28">
        <f t="shared" si="3"/>
        <v>0.13000000000101863</v>
      </c>
      <c r="N83" s="27">
        <f t="shared" si="4"/>
        <v>99.999558273870207</v>
      </c>
      <c r="O83" s="6"/>
      <c r="Q83" s="2"/>
      <c r="R83" s="2"/>
      <c r="S83" s="2"/>
      <c r="T83" s="2"/>
      <c r="U83" s="2"/>
    </row>
    <row r="84" spans="1:21" ht="15" customHeight="1" x14ac:dyDescent="0.2">
      <c r="A84" s="63">
        <v>502</v>
      </c>
      <c r="B84" s="57" t="s">
        <v>341</v>
      </c>
      <c r="C84" s="56">
        <v>0</v>
      </c>
      <c r="D84" s="56">
        <v>135613</v>
      </c>
      <c r="E84" s="56">
        <v>29430</v>
      </c>
      <c r="F84" s="56">
        <v>29430</v>
      </c>
      <c r="G84" s="56"/>
      <c r="H84" s="56">
        <v>0</v>
      </c>
      <c r="I84" s="56">
        <v>29429.87</v>
      </c>
      <c r="J84" s="56">
        <v>0</v>
      </c>
      <c r="K84" s="56">
        <v>29429.87</v>
      </c>
      <c r="L84" s="56">
        <f t="shared" si="29"/>
        <v>0.13000000000101863</v>
      </c>
      <c r="M84" s="26">
        <f t="shared" si="3"/>
        <v>0.13000000000101863</v>
      </c>
      <c r="N84" s="30">
        <f t="shared" si="4"/>
        <v>99.999558273870207</v>
      </c>
      <c r="O84" s="6"/>
      <c r="Q84" s="2"/>
      <c r="R84" s="2"/>
      <c r="S84" s="2"/>
      <c r="T84" s="2"/>
      <c r="U84" s="2"/>
    </row>
    <row r="85" spans="1:21" ht="12.75" x14ac:dyDescent="0.2">
      <c r="A85" s="71">
        <v>510</v>
      </c>
      <c r="B85" s="60" t="s">
        <v>340</v>
      </c>
      <c r="C85" s="53">
        <f>+C86</f>
        <v>23434226</v>
      </c>
      <c r="D85" s="53">
        <f t="shared" ref="D85:J85" si="30">+D86</f>
        <v>112419</v>
      </c>
      <c r="E85" s="53">
        <f>SUM(E86)</f>
        <v>20129087</v>
      </c>
      <c r="F85" s="53">
        <f>SUM(F86)</f>
        <v>20129087</v>
      </c>
      <c r="G85" s="53"/>
      <c r="H85" s="53">
        <f>+H86</f>
        <v>125000</v>
      </c>
      <c r="I85" s="53">
        <f t="shared" si="30"/>
        <v>9567751.3300000001</v>
      </c>
      <c r="J85" s="53">
        <f t="shared" si="30"/>
        <v>0</v>
      </c>
      <c r="K85" s="53">
        <f>+K86</f>
        <v>20129087</v>
      </c>
      <c r="L85" s="53">
        <f t="shared" si="29"/>
        <v>0</v>
      </c>
      <c r="M85" s="26">
        <f t="shared" si="3"/>
        <v>10561335.67</v>
      </c>
      <c r="N85" s="27">
        <f t="shared" si="4"/>
        <v>47.531968687899258</v>
      </c>
      <c r="O85" s="6"/>
      <c r="Q85" s="2"/>
      <c r="R85" s="2"/>
      <c r="S85" s="2"/>
      <c r="T85" s="2"/>
      <c r="U85" s="2"/>
    </row>
    <row r="86" spans="1:21" ht="12.75" x14ac:dyDescent="0.2">
      <c r="A86" s="63">
        <v>512</v>
      </c>
      <c r="B86" s="57" t="s">
        <v>341</v>
      </c>
      <c r="C86" s="56">
        <v>23434226</v>
      </c>
      <c r="D86" s="56">
        <v>112419</v>
      </c>
      <c r="E86" s="56">
        <v>20129087</v>
      </c>
      <c r="F86" s="56">
        <v>20129087</v>
      </c>
      <c r="G86" s="58"/>
      <c r="H86" s="56">
        <v>125000</v>
      </c>
      <c r="I86" s="58">
        <v>9567751.3300000001</v>
      </c>
      <c r="J86" s="58">
        <v>0</v>
      </c>
      <c r="K86" s="56">
        <v>20129087</v>
      </c>
      <c r="L86" s="56">
        <f t="shared" si="29"/>
        <v>0</v>
      </c>
      <c r="M86" s="26">
        <f t="shared" si="3"/>
        <v>10561335.67</v>
      </c>
      <c r="N86" s="30">
        <f t="shared" si="4"/>
        <v>47.531968687899258</v>
      </c>
      <c r="O86" s="6"/>
      <c r="Q86" s="2"/>
      <c r="R86" s="2"/>
      <c r="S86" s="2"/>
      <c r="T86" s="2"/>
      <c r="U86" s="2"/>
    </row>
    <row r="87" spans="1:21" ht="12.75" x14ac:dyDescent="0.2">
      <c r="A87" s="71">
        <v>520</v>
      </c>
      <c r="B87" s="60" t="s">
        <v>404</v>
      </c>
      <c r="C87" s="56"/>
      <c r="D87" s="56"/>
      <c r="E87" s="53">
        <f>+E88</f>
        <v>9998</v>
      </c>
      <c r="F87" s="53">
        <f>+F88</f>
        <v>9998</v>
      </c>
      <c r="G87" s="70"/>
      <c r="H87" s="53"/>
      <c r="I87" s="70"/>
      <c r="J87" s="70"/>
      <c r="K87" s="53">
        <f>+K88</f>
        <v>9997.4500000000007</v>
      </c>
      <c r="L87" s="53">
        <f t="shared" si="29"/>
        <v>0.5499999999992724</v>
      </c>
      <c r="M87" s="26"/>
      <c r="N87" s="30"/>
      <c r="O87" s="6"/>
      <c r="Q87" s="2"/>
      <c r="R87" s="2"/>
      <c r="S87" s="2"/>
      <c r="T87" s="2"/>
      <c r="U87" s="2"/>
    </row>
    <row r="88" spans="1:21" ht="12.75" x14ac:dyDescent="0.2">
      <c r="A88" s="63">
        <v>523</v>
      </c>
      <c r="B88" s="57" t="s">
        <v>405</v>
      </c>
      <c r="C88" s="56"/>
      <c r="D88" s="56"/>
      <c r="E88" s="56">
        <v>9998</v>
      </c>
      <c r="F88" s="56">
        <v>9998</v>
      </c>
      <c r="G88" s="58"/>
      <c r="H88" s="56"/>
      <c r="I88" s="58"/>
      <c r="J88" s="58"/>
      <c r="K88" s="56">
        <v>9997.4500000000007</v>
      </c>
      <c r="L88" s="56">
        <f t="shared" si="29"/>
        <v>0.5499999999992724</v>
      </c>
      <c r="M88" s="26"/>
      <c r="N88" s="30"/>
      <c r="O88" s="6"/>
      <c r="Q88" s="2"/>
      <c r="R88" s="2"/>
      <c r="S88" s="2"/>
      <c r="T88" s="2"/>
      <c r="U88" s="2"/>
    </row>
    <row r="89" spans="1:21" ht="20.25" customHeight="1" x14ac:dyDescent="0.2">
      <c r="A89" s="51" t="s">
        <v>271</v>
      </c>
      <c r="B89" s="52" t="s">
        <v>272</v>
      </c>
      <c r="C89" s="53">
        <f>+C90+C92+C94</f>
        <v>262213</v>
      </c>
      <c r="D89" s="53">
        <f t="shared" ref="D89:M90" si="31">+D90</f>
        <v>-6360</v>
      </c>
      <c r="E89" s="53">
        <f>+E90+E92+E94</f>
        <v>3000</v>
      </c>
      <c r="F89" s="53">
        <f>+F90+F92+F94</f>
        <v>3000</v>
      </c>
      <c r="G89" s="53">
        <f t="shared" ref="G89:J89" si="32">+G90+G92+G94</f>
        <v>0</v>
      </c>
      <c r="H89" s="53">
        <f>+H90+H92+H94</f>
        <v>0</v>
      </c>
      <c r="I89" s="53">
        <f t="shared" si="32"/>
        <v>0</v>
      </c>
      <c r="J89" s="53">
        <f t="shared" si="32"/>
        <v>0</v>
      </c>
      <c r="K89" s="53">
        <f>+K90+K92+K94</f>
        <v>1925.99</v>
      </c>
      <c r="L89" s="56">
        <f t="shared" si="29"/>
        <v>1074.01</v>
      </c>
      <c r="M89" s="24">
        <f t="shared" si="31"/>
        <v>0</v>
      </c>
      <c r="N89" s="27"/>
      <c r="O89" s="6"/>
      <c r="Q89" s="2"/>
      <c r="R89" s="2"/>
      <c r="S89" s="2"/>
      <c r="T89" s="2"/>
      <c r="U89" s="2"/>
    </row>
    <row r="90" spans="1:21" ht="14.25" customHeight="1" x14ac:dyDescent="0.2">
      <c r="A90" s="61" t="s">
        <v>276</v>
      </c>
      <c r="B90" s="60" t="s">
        <v>129</v>
      </c>
      <c r="C90" s="53">
        <f>+C91</f>
        <v>28900</v>
      </c>
      <c r="D90" s="53">
        <f t="shared" si="31"/>
        <v>-6360</v>
      </c>
      <c r="E90" s="53">
        <f>+E91</f>
        <v>0</v>
      </c>
      <c r="F90" s="53">
        <f>+F91</f>
        <v>0</v>
      </c>
      <c r="G90" s="53"/>
      <c r="H90" s="53">
        <f t="shared" si="31"/>
        <v>0</v>
      </c>
      <c r="I90" s="53"/>
      <c r="J90" s="53">
        <f t="shared" si="31"/>
        <v>0</v>
      </c>
      <c r="K90" s="53">
        <f t="shared" si="28"/>
        <v>0</v>
      </c>
      <c r="L90" s="56">
        <f t="shared" si="29"/>
        <v>0</v>
      </c>
      <c r="M90" s="24">
        <f t="shared" si="31"/>
        <v>0</v>
      </c>
      <c r="N90" s="27"/>
      <c r="O90" s="6"/>
      <c r="Q90" s="2"/>
      <c r="R90" s="2"/>
      <c r="S90" s="2"/>
      <c r="T90" s="2"/>
      <c r="U90" s="2"/>
    </row>
    <row r="91" spans="1:21" ht="15" customHeight="1" x14ac:dyDescent="0.2">
      <c r="A91" s="63">
        <v>619</v>
      </c>
      <c r="B91" s="57" t="s">
        <v>319</v>
      </c>
      <c r="C91" s="56">
        <v>28900</v>
      </c>
      <c r="D91" s="56">
        <v>-6360</v>
      </c>
      <c r="E91" s="56">
        <v>0</v>
      </c>
      <c r="F91" s="56">
        <v>0</v>
      </c>
      <c r="G91" s="58"/>
      <c r="H91" s="56"/>
      <c r="I91" s="58"/>
      <c r="J91" s="58">
        <v>0</v>
      </c>
      <c r="K91" s="53">
        <f t="shared" si="28"/>
        <v>0</v>
      </c>
      <c r="L91" s="56">
        <f t="shared" si="29"/>
        <v>0</v>
      </c>
      <c r="M91" s="26">
        <f t="shared" si="3"/>
        <v>0</v>
      </c>
      <c r="N91" s="27"/>
      <c r="O91" s="6"/>
      <c r="Q91" s="2"/>
      <c r="R91" s="2"/>
      <c r="S91" s="2"/>
      <c r="T91" s="2"/>
      <c r="U91" s="2"/>
    </row>
    <row r="92" spans="1:21" ht="14.25" customHeight="1" x14ac:dyDescent="0.2">
      <c r="A92" s="71">
        <v>620</v>
      </c>
      <c r="B92" s="60" t="s">
        <v>351</v>
      </c>
      <c r="C92" s="53">
        <f>+C93</f>
        <v>158313</v>
      </c>
      <c r="D92" s="56"/>
      <c r="E92" s="53">
        <f>+E93</f>
        <v>3000</v>
      </c>
      <c r="F92" s="53">
        <f>+F93</f>
        <v>3000</v>
      </c>
      <c r="G92" s="53">
        <f t="shared" ref="G92:J92" si="33">+G93</f>
        <v>0</v>
      </c>
      <c r="H92" s="53">
        <f t="shared" si="33"/>
        <v>0</v>
      </c>
      <c r="I92" s="53">
        <f t="shared" si="33"/>
        <v>0</v>
      </c>
      <c r="J92" s="53">
        <f t="shared" si="33"/>
        <v>0</v>
      </c>
      <c r="K92" s="53">
        <f>+K93</f>
        <v>1925.99</v>
      </c>
      <c r="L92" s="53">
        <f t="shared" si="29"/>
        <v>1074.01</v>
      </c>
      <c r="M92" s="26"/>
      <c r="N92" s="27"/>
      <c r="O92" s="6"/>
      <c r="Q92" s="2"/>
      <c r="R92" s="2"/>
      <c r="S92" s="2"/>
      <c r="T92" s="2"/>
      <c r="U92" s="2"/>
    </row>
    <row r="93" spans="1:21" ht="12.75" customHeight="1" x14ac:dyDescent="0.2">
      <c r="A93" s="63">
        <v>624</v>
      </c>
      <c r="B93" s="57" t="s">
        <v>352</v>
      </c>
      <c r="C93" s="56">
        <v>158313</v>
      </c>
      <c r="D93" s="56"/>
      <c r="E93" s="56">
        <v>3000</v>
      </c>
      <c r="F93" s="56">
        <v>3000</v>
      </c>
      <c r="G93" s="58"/>
      <c r="H93" s="56"/>
      <c r="I93" s="58"/>
      <c r="J93" s="58"/>
      <c r="K93" s="53">
        <v>1925.99</v>
      </c>
      <c r="L93" s="56">
        <f t="shared" si="29"/>
        <v>1074.01</v>
      </c>
      <c r="M93" s="26"/>
      <c r="N93" s="27"/>
      <c r="O93" s="6"/>
      <c r="Q93" s="2"/>
      <c r="R93" s="2"/>
      <c r="S93" s="2"/>
      <c r="T93" s="2"/>
      <c r="U93" s="2"/>
    </row>
    <row r="94" spans="1:21" ht="12.75" customHeight="1" x14ac:dyDescent="0.2">
      <c r="A94" s="71">
        <v>630</v>
      </c>
      <c r="B94" s="60" t="s">
        <v>374</v>
      </c>
      <c r="C94" s="53">
        <f>+C95</f>
        <v>75000</v>
      </c>
      <c r="D94" s="53"/>
      <c r="E94" s="53">
        <f>+E95</f>
        <v>0</v>
      </c>
      <c r="F94" s="53">
        <f>+F95</f>
        <v>0</v>
      </c>
      <c r="G94" s="70"/>
      <c r="H94" s="53">
        <f>+H95</f>
        <v>0</v>
      </c>
      <c r="I94" s="70"/>
      <c r="J94" s="70"/>
      <c r="K94" s="53">
        <f t="shared" si="28"/>
        <v>0</v>
      </c>
      <c r="L94" s="56">
        <f t="shared" si="29"/>
        <v>0</v>
      </c>
      <c r="M94" s="26"/>
      <c r="N94" s="27"/>
      <c r="O94" s="6"/>
      <c r="Q94" s="2"/>
      <c r="R94" s="2"/>
      <c r="S94" s="2"/>
      <c r="T94" s="2"/>
      <c r="U94" s="2"/>
    </row>
    <row r="95" spans="1:21" ht="12.75" customHeight="1" x14ac:dyDescent="0.2">
      <c r="A95" s="63">
        <v>632</v>
      </c>
      <c r="B95" s="57" t="s">
        <v>375</v>
      </c>
      <c r="C95" s="56">
        <v>75000</v>
      </c>
      <c r="D95" s="56"/>
      <c r="E95" s="56">
        <v>0</v>
      </c>
      <c r="F95" s="56">
        <v>0</v>
      </c>
      <c r="G95" s="58"/>
      <c r="H95" s="56"/>
      <c r="I95" s="58"/>
      <c r="J95" s="58"/>
      <c r="K95" s="53">
        <f t="shared" si="28"/>
        <v>0</v>
      </c>
      <c r="L95" s="56">
        <f>+F95-K95</f>
        <v>0</v>
      </c>
      <c r="M95" s="26"/>
      <c r="N95" s="27"/>
      <c r="O95" s="6"/>
      <c r="Q95" s="2"/>
      <c r="R95" s="2"/>
      <c r="S95" s="2"/>
      <c r="T95" s="2"/>
      <c r="U95" s="2"/>
    </row>
    <row r="96" spans="1:21" ht="23.25" customHeight="1" x14ac:dyDescent="0.2">
      <c r="A96" s="72" t="s">
        <v>2</v>
      </c>
      <c r="B96" s="73" t="s">
        <v>343</v>
      </c>
      <c r="C96" s="74" t="e">
        <f>+C89+C82+C63+C33+C18+C9</f>
        <v>#REF!</v>
      </c>
      <c r="D96" s="74" t="e">
        <f>+D89+D82+D63+D33+D18+D9</f>
        <v>#REF!</v>
      </c>
      <c r="E96" s="74">
        <f>+E89+E82+E63+E33+E18+E9+E80</f>
        <v>23508527.720000003</v>
      </c>
      <c r="F96" s="74">
        <f>+F89+F82+F63+F33+F18+F9+F80</f>
        <v>23508527.720000003</v>
      </c>
      <c r="G96" s="74" t="e">
        <f>+G89+G82+G63+G33+G18+G9+G80</f>
        <v>#REF!</v>
      </c>
      <c r="H96" s="74" t="e">
        <f>+H89+H82+H63+H33+H18+H9+H80</f>
        <v>#REF!</v>
      </c>
      <c r="I96" s="74" t="e">
        <f>+I89+I82+I63+I33+I18+I9+I80</f>
        <v>#REF!</v>
      </c>
      <c r="J96" s="74" t="e">
        <f>+J9+J18+J63+J82</f>
        <v>#REF!</v>
      </c>
      <c r="K96" s="74">
        <f>+K89+K82+K63+K33+K18+K9+K80</f>
        <v>22921681.220000003</v>
      </c>
      <c r="L96" s="75">
        <f t="shared" si="29"/>
        <v>586846.5</v>
      </c>
      <c r="M96" s="31" t="e">
        <f>+M89+M82+M63+M33+M18+M9</f>
        <v>#REF!</v>
      </c>
      <c r="N96" s="32" t="e">
        <f t="shared" si="4"/>
        <v>#REF!</v>
      </c>
      <c r="O96" s="6"/>
      <c r="Q96" s="2"/>
      <c r="R96" s="2"/>
      <c r="S96" s="2"/>
      <c r="T96" s="2"/>
      <c r="U96" s="2"/>
    </row>
    <row r="97" spans="1:21" x14ac:dyDescent="0.25">
      <c r="A97" s="76"/>
      <c r="B97" s="77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33"/>
      <c r="N97" s="34"/>
      <c r="O97" s="8"/>
      <c r="Q97" s="2"/>
      <c r="R97" s="2"/>
      <c r="S97" s="2"/>
      <c r="T97" s="2"/>
      <c r="U97" s="2"/>
    </row>
    <row r="98" spans="1:21" x14ac:dyDescent="0.25">
      <c r="A98" s="76"/>
      <c r="B98" s="79"/>
      <c r="Q98" s="2"/>
      <c r="R98" s="2"/>
      <c r="S98" s="2"/>
      <c r="T98" s="2"/>
      <c r="U98" s="2"/>
    </row>
    <row r="99" spans="1:21" x14ac:dyDescent="0.25">
      <c r="A99" s="76"/>
      <c r="B99" s="79"/>
      <c r="Q99" s="2"/>
      <c r="R99" s="2"/>
      <c r="S99" s="2"/>
      <c r="T99" s="2"/>
      <c r="U99" s="2"/>
    </row>
    <row r="100" spans="1:21" x14ac:dyDescent="0.25">
      <c r="A100" s="76"/>
      <c r="B100" s="79"/>
      <c r="I100" s="81"/>
    </row>
    <row r="101" spans="1:21" x14ac:dyDescent="0.25">
      <c r="A101" s="76"/>
      <c r="B101" s="79"/>
    </row>
    <row r="102" spans="1:21" x14ac:dyDescent="0.25">
      <c r="A102" s="76"/>
      <c r="B102" s="79"/>
    </row>
    <row r="103" spans="1:21" x14ac:dyDescent="0.25">
      <c r="A103" s="76"/>
      <c r="B103" s="79"/>
    </row>
    <row r="104" spans="1:21" x14ac:dyDescent="0.25">
      <c r="A104" s="76"/>
      <c r="B104" s="79"/>
    </row>
    <row r="105" spans="1:21" x14ac:dyDescent="0.25">
      <c r="A105" s="76"/>
      <c r="B105" s="79"/>
    </row>
    <row r="106" spans="1:21" x14ac:dyDescent="0.25">
      <c r="A106" s="76"/>
      <c r="B106" s="79"/>
    </row>
    <row r="107" spans="1:21" x14ac:dyDescent="0.25">
      <c r="A107" s="76"/>
      <c r="B107" s="79"/>
    </row>
    <row r="108" spans="1:21" x14ac:dyDescent="0.25">
      <c r="A108" s="76"/>
      <c r="B108" s="79"/>
    </row>
    <row r="109" spans="1:21" x14ac:dyDescent="0.25">
      <c r="A109" s="76"/>
      <c r="B109" s="79"/>
    </row>
    <row r="110" spans="1:21" x14ac:dyDescent="0.25">
      <c r="A110" s="76"/>
      <c r="B110" s="79"/>
    </row>
    <row r="111" spans="1:21" x14ac:dyDescent="0.25">
      <c r="A111" s="76"/>
      <c r="B111" s="79"/>
    </row>
    <row r="112" spans="1:21" x14ac:dyDescent="0.25">
      <c r="A112" s="76"/>
      <c r="B112" s="79"/>
    </row>
    <row r="113" spans="1:13" x14ac:dyDescent="0.25">
      <c r="A113" s="76"/>
      <c r="B113" s="79"/>
    </row>
    <row r="114" spans="1:13" x14ac:dyDescent="0.25">
      <c r="A114" s="76"/>
      <c r="B114" s="79"/>
    </row>
    <row r="115" spans="1:13" x14ac:dyDescent="0.25">
      <c r="A115" s="76"/>
      <c r="B115" s="79"/>
    </row>
    <row r="116" spans="1:13" x14ac:dyDescent="0.25">
      <c r="A116" s="76"/>
      <c r="B116" s="79"/>
    </row>
    <row r="117" spans="1:13" x14ac:dyDescent="0.25">
      <c r="A117" s="76"/>
      <c r="B117" s="79"/>
    </row>
    <row r="118" spans="1:13" x14ac:dyDescent="0.25">
      <c r="A118" s="76"/>
      <c r="B118" s="79"/>
    </row>
    <row r="119" spans="1:13" x14ac:dyDescent="0.25">
      <c r="A119" s="82"/>
      <c r="B119" s="79"/>
    </row>
    <row r="120" spans="1:13" x14ac:dyDescent="0.25">
      <c r="A120" s="82"/>
      <c r="B120" s="79"/>
    </row>
    <row r="121" spans="1:13" x14ac:dyDescent="0.25">
      <c r="A121" s="76"/>
      <c r="B121" s="79"/>
    </row>
    <row r="122" spans="1:13" x14ac:dyDescent="0.25">
      <c r="A122" s="76"/>
      <c r="B122" s="79"/>
    </row>
    <row r="123" spans="1:13" x14ac:dyDescent="0.25">
      <c r="A123" s="83"/>
      <c r="B123" s="79"/>
    </row>
    <row r="124" spans="1:13" x14ac:dyDescent="0.25">
      <c r="A124" s="83"/>
      <c r="B124" s="79"/>
    </row>
    <row r="125" spans="1:13" x14ac:dyDescent="0.25">
      <c r="A125" s="83"/>
      <c r="B125" s="79"/>
    </row>
    <row r="126" spans="1:13" x14ac:dyDescent="0.25">
      <c r="A126" s="83"/>
      <c r="B126" s="79"/>
    </row>
    <row r="127" spans="1:13" ht="14.25" thickBot="1" x14ac:dyDescent="0.3">
      <c r="A127" s="76"/>
      <c r="B127" s="79"/>
    </row>
    <row r="128" spans="1:13" ht="14.25" thickTop="1" x14ac:dyDescent="0.25">
      <c r="A128" s="76"/>
      <c r="B128" s="77"/>
      <c r="C128" s="84"/>
      <c r="D128" s="78"/>
      <c r="E128" s="78"/>
      <c r="F128" s="78"/>
      <c r="G128" s="78"/>
      <c r="H128" s="78"/>
      <c r="I128" s="78"/>
      <c r="J128" s="78"/>
      <c r="K128" s="78"/>
      <c r="L128" s="78"/>
      <c r="M128" s="9"/>
    </row>
    <row r="129" spans="1:13" x14ac:dyDescent="0.25">
      <c r="A129" s="85"/>
      <c r="B129" s="86"/>
      <c r="C129" s="85"/>
      <c r="D129" s="85"/>
      <c r="E129" s="85"/>
      <c r="F129" s="85"/>
      <c r="G129" s="87"/>
      <c r="H129" s="87"/>
      <c r="I129" s="85"/>
      <c r="J129" s="85"/>
      <c r="K129" s="85"/>
      <c r="L129" s="85"/>
      <c r="M129" s="10"/>
    </row>
    <row r="130" spans="1:13" x14ac:dyDescent="0.25">
      <c r="B130" s="79"/>
      <c r="C130" s="85"/>
      <c r="D130" s="85"/>
      <c r="E130" s="85"/>
      <c r="G130" s="87"/>
      <c r="H130" s="87"/>
      <c r="I130" s="85"/>
      <c r="M130" s="10"/>
    </row>
    <row r="131" spans="1:13" x14ac:dyDescent="0.25">
      <c r="B131" s="79"/>
      <c r="C131" s="85"/>
      <c r="D131" s="85"/>
      <c r="E131" s="85"/>
      <c r="M131" s="10"/>
    </row>
    <row r="132" spans="1:13" x14ac:dyDescent="0.25">
      <c r="B132" s="79"/>
      <c r="C132" s="85"/>
      <c r="D132" s="85"/>
      <c r="E132" s="85"/>
      <c r="M132" s="10"/>
    </row>
    <row r="133" spans="1:13" x14ac:dyDescent="0.25">
      <c r="B133" s="79"/>
      <c r="C133" s="85"/>
      <c r="D133" s="85"/>
      <c r="E133" s="85"/>
      <c r="M133" s="10"/>
    </row>
    <row r="134" spans="1:13" x14ac:dyDescent="0.25">
      <c r="B134" s="79"/>
      <c r="C134" s="85"/>
      <c r="D134" s="85"/>
      <c r="E134" s="85"/>
      <c r="M134" s="10"/>
    </row>
    <row r="135" spans="1:13" x14ac:dyDescent="0.25">
      <c r="B135" s="79"/>
      <c r="C135" s="85"/>
      <c r="D135" s="85"/>
      <c r="E135" s="85"/>
      <c r="M135" s="10"/>
    </row>
    <row r="136" spans="1:13" x14ac:dyDescent="0.25">
      <c r="B136" s="79"/>
      <c r="C136" s="85"/>
      <c r="D136" s="85"/>
      <c r="E136" s="85"/>
      <c r="M136" s="10"/>
    </row>
    <row r="137" spans="1:13" x14ac:dyDescent="0.25">
      <c r="B137" s="79"/>
      <c r="C137" s="85"/>
      <c r="D137" s="85"/>
      <c r="E137" s="85"/>
      <c r="M137" s="10"/>
    </row>
    <row r="138" spans="1:13" x14ac:dyDescent="0.25">
      <c r="B138" s="79"/>
      <c r="C138" s="85"/>
      <c r="D138" s="85"/>
      <c r="E138" s="85"/>
      <c r="M138" s="10"/>
    </row>
    <row r="139" spans="1:13" x14ac:dyDescent="0.25">
      <c r="B139" s="79"/>
      <c r="C139" s="85"/>
      <c r="D139" s="85"/>
      <c r="E139" s="85"/>
      <c r="M139" s="10"/>
    </row>
    <row r="140" spans="1:13" x14ac:dyDescent="0.25">
      <c r="B140" s="79"/>
      <c r="C140" s="85"/>
      <c r="D140" s="85"/>
      <c r="E140" s="85"/>
      <c r="M140" s="10"/>
    </row>
    <row r="141" spans="1:13" x14ac:dyDescent="0.25">
      <c r="B141" s="79"/>
      <c r="C141" s="85"/>
      <c r="D141" s="85"/>
      <c r="E141" s="85"/>
      <c r="M141" s="10"/>
    </row>
    <row r="142" spans="1:13" x14ac:dyDescent="0.25">
      <c r="B142" s="79"/>
      <c r="C142" s="85"/>
      <c r="D142" s="85"/>
      <c r="E142" s="85"/>
      <c r="M142" s="10"/>
    </row>
    <row r="143" spans="1:13" x14ac:dyDescent="0.25">
      <c r="B143" s="79"/>
      <c r="C143" s="85"/>
      <c r="D143" s="85"/>
      <c r="E143" s="85"/>
      <c r="M143" s="10"/>
    </row>
    <row r="144" spans="1:13" x14ac:dyDescent="0.25">
      <c r="B144" s="79"/>
      <c r="C144" s="85"/>
      <c r="D144" s="85"/>
      <c r="E144" s="85"/>
      <c r="M144" s="10"/>
    </row>
    <row r="145" spans="2:16" x14ac:dyDescent="0.25">
      <c r="B145" s="79"/>
      <c r="C145" s="85"/>
      <c r="D145" s="85"/>
      <c r="E145" s="85"/>
      <c r="M145" s="10"/>
    </row>
    <row r="146" spans="2:16" x14ac:dyDescent="0.25">
      <c r="B146" s="79"/>
      <c r="C146" s="85"/>
      <c r="D146" s="85"/>
      <c r="E146" s="85"/>
      <c r="M146" s="10"/>
    </row>
    <row r="147" spans="2:16" x14ac:dyDescent="0.25">
      <c r="B147" s="79"/>
      <c r="C147" s="85"/>
      <c r="D147" s="85"/>
      <c r="E147" s="85"/>
      <c r="M147" s="10"/>
    </row>
    <row r="148" spans="2:16" x14ac:dyDescent="0.25">
      <c r="B148" s="79"/>
      <c r="C148" s="85"/>
      <c r="D148" s="85"/>
      <c r="E148" s="85"/>
      <c r="M148" s="10"/>
    </row>
    <row r="149" spans="2:16" x14ac:dyDescent="0.25">
      <c r="B149" s="79"/>
      <c r="D149" s="85"/>
      <c r="M149" s="10"/>
    </row>
    <row r="150" spans="2:16" x14ac:dyDescent="0.25">
      <c r="B150" s="79"/>
      <c r="D150" s="85"/>
      <c r="M150" s="10"/>
      <c r="N150" s="15"/>
      <c r="O150" s="6" t="s">
        <v>2</v>
      </c>
      <c r="P150" s="12"/>
    </row>
    <row r="151" spans="2:16" x14ac:dyDescent="0.25">
      <c r="B151" s="79"/>
      <c r="D151" s="85"/>
      <c r="M151" s="10"/>
      <c r="N151" s="15"/>
      <c r="O151" s="6" t="s">
        <v>2</v>
      </c>
      <c r="P151" s="12"/>
    </row>
    <row r="152" spans="2:16" x14ac:dyDescent="0.25">
      <c r="B152" s="79"/>
      <c r="D152" s="85"/>
      <c r="M152" s="10"/>
      <c r="N152" s="15"/>
      <c r="O152" s="6" t="s">
        <v>2</v>
      </c>
      <c r="P152" s="12"/>
    </row>
    <row r="153" spans="2:16" x14ac:dyDescent="0.25">
      <c r="B153" s="79"/>
      <c r="D153" s="85"/>
      <c r="M153" s="10"/>
      <c r="N153" s="15"/>
      <c r="O153" s="6" t="s">
        <v>2</v>
      </c>
      <c r="P153" s="12"/>
    </row>
    <row r="154" spans="2:16" x14ac:dyDescent="0.25">
      <c r="B154" s="79"/>
      <c r="D154" s="85"/>
      <c r="M154" s="10"/>
      <c r="N154" s="15"/>
      <c r="O154" s="6" t="s">
        <v>2</v>
      </c>
      <c r="P154" s="12"/>
    </row>
    <row r="155" spans="2:16" x14ac:dyDescent="0.25">
      <c r="B155" s="79"/>
      <c r="D155" s="85"/>
      <c r="M155" s="10"/>
      <c r="N155" s="15"/>
      <c r="O155" s="6" t="s">
        <v>2</v>
      </c>
      <c r="P155" s="12"/>
    </row>
    <row r="156" spans="2:16" x14ac:dyDescent="0.25">
      <c r="B156" s="79"/>
      <c r="D156" s="85"/>
      <c r="M156" s="10"/>
      <c r="N156" s="15"/>
      <c r="O156" s="6" t="s">
        <v>2</v>
      </c>
      <c r="P156" s="12"/>
    </row>
    <row r="157" spans="2:16" x14ac:dyDescent="0.25">
      <c r="B157" s="79"/>
      <c r="D157" s="85"/>
      <c r="M157" s="10"/>
      <c r="N157" s="15"/>
      <c r="O157" s="6" t="s">
        <v>2</v>
      </c>
      <c r="P157" s="12"/>
    </row>
    <row r="158" spans="2:16" x14ac:dyDescent="0.25">
      <c r="B158" s="79"/>
      <c r="D158" s="85"/>
      <c r="M158" s="10"/>
      <c r="N158" s="15"/>
      <c r="O158" s="6" t="s">
        <v>2</v>
      </c>
      <c r="P158" s="12"/>
    </row>
    <row r="159" spans="2:16" x14ac:dyDescent="0.25">
      <c r="B159" s="79"/>
      <c r="D159" s="85"/>
      <c r="M159" s="11"/>
      <c r="N159" s="15"/>
      <c r="O159" s="6" t="s">
        <v>2</v>
      </c>
      <c r="P159" s="12"/>
    </row>
    <row r="160" spans="2:16" x14ac:dyDescent="0.25">
      <c r="B160" s="79"/>
      <c r="D160" s="85"/>
      <c r="M160" s="11"/>
      <c r="N160" s="15"/>
      <c r="O160" s="6" t="s">
        <v>2</v>
      </c>
      <c r="P160" s="12"/>
    </row>
    <row r="161" spans="2:16" x14ac:dyDescent="0.25">
      <c r="B161" s="79"/>
      <c r="D161" s="85"/>
      <c r="M161" s="11"/>
      <c r="N161" s="15"/>
      <c r="O161" s="6" t="s">
        <v>2</v>
      </c>
      <c r="P161" s="12"/>
    </row>
    <row r="162" spans="2:16" x14ac:dyDescent="0.25">
      <c r="B162" s="79"/>
      <c r="D162" s="85"/>
      <c r="M162" s="11"/>
      <c r="N162" s="15"/>
      <c r="O162" s="6" t="s">
        <v>2</v>
      </c>
      <c r="P162" s="12"/>
    </row>
    <row r="163" spans="2:16" x14ac:dyDescent="0.25">
      <c r="B163" s="79"/>
      <c r="D163" s="85"/>
      <c r="M163" s="11"/>
      <c r="N163" s="15"/>
      <c r="O163" s="6" t="s">
        <v>2</v>
      </c>
      <c r="P163" s="12"/>
    </row>
    <row r="164" spans="2:16" x14ac:dyDescent="0.25">
      <c r="B164" s="79"/>
      <c r="D164" s="85"/>
      <c r="M164" s="11"/>
      <c r="N164" s="15"/>
      <c r="O164" s="6" t="s">
        <v>2</v>
      </c>
      <c r="P164" s="12"/>
    </row>
    <row r="165" spans="2:16" x14ac:dyDescent="0.25">
      <c r="B165" s="79"/>
      <c r="D165" s="85"/>
      <c r="M165" s="11"/>
      <c r="N165" s="15"/>
      <c r="O165" s="6" t="s">
        <v>2</v>
      </c>
      <c r="P165" s="12"/>
    </row>
    <row r="166" spans="2:16" x14ac:dyDescent="0.25">
      <c r="B166" s="79"/>
      <c r="D166" s="85"/>
      <c r="M166" s="6"/>
      <c r="N166" s="16"/>
      <c r="O166" s="6" t="s">
        <v>2</v>
      </c>
      <c r="P166" s="12"/>
    </row>
    <row r="167" spans="2:16" x14ac:dyDescent="0.25">
      <c r="B167" s="79"/>
      <c r="D167" s="85"/>
      <c r="M167" s="6"/>
      <c r="N167" s="16"/>
      <c r="O167" s="6" t="s">
        <v>2</v>
      </c>
      <c r="P167" s="12"/>
    </row>
    <row r="168" spans="2:16" x14ac:dyDescent="0.25">
      <c r="B168" s="79"/>
      <c r="D168" s="85"/>
      <c r="M168" s="6"/>
      <c r="N168" s="16"/>
      <c r="O168" s="6" t="s">
        <v>2</v>
      </c>
      <c r="P168" s="12"/>
    </row>
    <row r="169" spans="2:16" x14ac:dyDescent="0.25">
      <c r="B169" s="79"/>
      <c r="D169" s="85"/>
      <c r="M169" s="6"/>
      <c r="N169" s="16"/>
      <c r="O169" s="6" t="s">
        <v>2</v>
      </c>
      <c r="P169" s="12"/>
    </row>
    <row r="170" spans="2:16" x14ac:dyDescent="0.25">
      <c r="B170" s="79"/>
      <c r="D170" s="85"/>
      <c r="M170" s="6"/>
      <c r="N170" s="16"/>
      <c r="O170" s="6" t="s">
        <v>2</v>
      </c>
      <c r="P170" s="12"/>
    </row>
    <row r="171" spans="2:16" x14ac:dyDescent="0.25">
      <c r="B171" s="79"/>
      <c r="D171" s="85"/>
      <c r="M171" s="6"/>
      <c r="N171" s="16"/>
      <c r="O171" s="6" t="s">
        <v>2</v>
      </c>
      <c r="P171" s="12"/>
    </row>
    <row r="172" spans="2:16" x14ac:dyDescent="0.25">
      <c r="B172" s="79"/>
      <c r="D172" s="85"/>
      <c r="M172" s="6"/>
      <c r="N172" s="16"/>
      <c r="O172" s="6" t="s">
        <v>2</v>
      </c>
      <c r="P172" s="12"/>
    </row>
    <row r="173" spans="2:16" x14ac:dyDescent="0.25">
      <c r="B173" s="79"/>
      <c r="D173" s="85"/>
      <c r="M173" s="6"/>
      <c r="N173" s="16"/>
      <c r="O173" s="6" t="s">
        <v>2</v>
      </c>
      <c r="P173" s="12"/>
    </row>
    <row r="174" spans="2:16" x14ac:dyDescent="0.25">
      <c r="B174" s="79"/>
      <c r="D174" s="85"/>
      <c r="M174" s="6"/>
      <c r="N174" s="16"/>
      <c r="O174" s="6" t="s">
        <v>2</v>
      </c>
      <c r="P174" s="12"/>
    </row>
    <row r="175" spans="2:16" x14ac:dyDescent="0.25">
      <c r="B175" s="79"/>
      <c r="D175" s="85"/>
      <c r="M175" s="6"/>
      <c r="N175" s="16"/>
      <c r="O175" s="6" t="s">
        <v>2</v>
      </c>
      <c r="P175" s="12"/>
    </row>
    <row r="176" spans="2:16" x14ac:dyDescent="0.25">
      <c r="B176" s="79"/>
      <c r="D176" s="85"/>
      <c r="M176" s="6"/>
      <c r="N176" s="16"/>
      <c r="O176" s="6" t="s">
        <v>2</v>
      </c>
      <c r="P176" s="12"/>
    </row>
    <row r="177" spans="2:16" x14ac:dyDescent="0.25">
      <c r="B177" s="79"/>
      <c r="D177" s="85"/>
      <c r="M177" s="6"/>
      <c r="N177" s="16"/>
      <c r="O177" s="6" t="s">
        <v>2</v>
      </c>
      <c r="P177" s="12"/>
    </row>
    <row r="178" spans="2:16" x14ac:dyDescent="0.25">
      <c r="B178" s="79"/>
      <c r="D178" s="85"/>
      <c r="M178" s="6"/>
      <c r="N178" s="16"/>
      <c r="O178" s="6" t="s">
        <v>2</v>
      </c>
      <c r="P178" s="12"/>
    </row>
    <row r="179" spans="2:16" x14ac:dyDescent="0.25">
      <c r="B179" s="79"/>
      <c r="D179" s="85"/>
      <c r="M179" s="6"/>
      <c r="N179" s="16"/>
      <c r="O179" s="6" t="s">
        <v>2</v>
      </c>
      <c r="P179" s="12"/>
    </row>
    <row r="180" spans="2:16" x14ac:dyDescent="0.25">
      <c r="B180" s="79"/>
      <c r="D180" s="85"/>
      <c r="M180" s="6"/>
      <c r="N180" s="16"/>
      <c r="O180" s="6" t="s">
        <v>2</v>
      </c>
      <c r="P180" s="12"/>
    </row>
    <row r="181" spans="2:16" x14ac:dyDescent="0.25">
      <c r="B181" s="79"/>
      <c r="D181" s="85"/>
      <c r="M181" s="6"/>
      <c r="N181" s="16"/>
      <c r="O181" s="6" t="s">
        <v>2</v>
      </c>
      <c r="P181" s="12"/>
    </row>
    <row r="182" spans="2:16" x14ac:dyDescent="0.25">
      <c r="B182" s="79"/>
      <c r="D182" s="85"/>
      <c r="M182" s="6"/>
      <c r="N182" s="16"/>
      <c r="O182" s="6" t="s">
        <v>2</v>
      </c>
      <c r="P182" s="12"/>
    </row>
    <row r="183" spans="2:16" x14ac:dyDescent="0.25">
      <c r="B183" s="79"/>
      <c r="D183" s="85"/>
      <c r="M183" s="6"/>
      <c r="N183" s="16"/>
      <c r="O183" s="6" t="s">
        <v>2</v>
      </c>
      <c r="P183" s="12"/>
    </row>
    <row r="184" spans="2:16" x14ac:dyDescent="0.25">
      <c r="B184" s="79"/>
      <c r="D184" s="85"/>
      <c r="M184" s="6"/>
      <c r="N184" s="16"/>
      <c r="O184" s="6" t="s">
        <v>2</v>
      </c>
      <c r="P184" s="12"/>
    </row>
    <row r="185" spans="2:16" x14ac:dyDescent="0.25">
      <c r="B185" s="79"/>
      <c r="D185" s="85"/>
      <c r="M185" s="6"/>
      <c r="N185" s="16"/>
      <c r="O185" s="6" t="s">
        <v>2</v>
      </c>
      <c r="P185" s="13"/>
    </row>
    <row r="186" spans="2:16" x14ac:dyDescent="0.25">
      <c r="B186" s="79"/>
      <c r="D186" s="85"/>
      <c r="M186" s="6"/>
      <c r="N186" s="16"/>
      <c r="O186" s="6" t="s">
        <v>2</v>
      </c>
      <c r="P186" s="13"/>
    </row>
    <row r="187" spans="2:16" x14ac:dyDescent="0.25">
      <c r="B187" s="79"/>
      <c r="D187" s="85"/>
      <c r="M187" s="6"/>
      <c r="N187" s="16"/>
      <c r="O187" s="6" t="s">
        <v>2</v>
      </c>
      <c r="P187" s="13"/>
    </row>
    <row r="188" spans="2:16" x14ac:dyDescent="0.25">
      <c r="B188" s="79"/>
      <c r="D188" s="85"/>
      <c r="M188" s="6"/>
      <c r="N188" s="16"/>
      <c r="O188" s="6" t="s">
        <v>2</v>
      </c>
      <c r="P188" s="13"/>
    </row>
    <row r="189" spans="2:16" x14ac:dyDescent="0.25">
      <c r="B189" s="79"/>
      <c r="D189" s="85"/>
      <c r="M189" s="6"/>
      <c r="N189" s="16"/>
      <c r="O189" s="6" t="s">
        <v>2</v>
      </c>
      <c r="P189" s="13"/>
    </row>
    <row r="190" spans="2:16" x14ac:dyDescent="0.25">
      <c r="B190" s="79"/>
      <c r="D190" s="85"/>
      <c r="M190" s="6"/>
      <c r="N190" s="16"/>
      <c r="O190" s="6" t="s">
        <v>2</v>
      </c>
      <c r="P190" s="13"/>
    </row>
    <row r="191" spans="2:16" x14ac:dyDescent="0.25">
      <c r="B191" s="79"/>
      <c r="D191" s="85"/>
      <c r="M191" s="6"/>
      <c r="N191" s="16"/>
      <c r="O191" s="6" t="s">
        <v>2</v>
      </c>
      <c r="P191" s="13"/>
    </row>
    <row r="192" spans="2:16" x14ac:dyDescent="0.25">
      <c r="B192" s="79"/>
      <c r="D192" s="85"/>
      <c r="M192" s="6"/>
      <c r="N192" s="16"/>
      <c r="O192" s="6" t="s">
        <v>2</v>
      </c>
      <c r="P192" s="13"/>
    </row>
    <row r="193" spans="2:16" x14ac:dyDescent="0.25">
      <c r="B193" s="79"/>
      <c r="D193" s="85"/>
      <c r="M193" s="6"/>
      <c r="N193" s="16"/>
      <c r="O193" s="6" t="s">
        <v>2</v>
      </c>
      <c r="P193" s="13"/>
    </row>
    <row r="194" spans="2:16" x14ac:dyDescent="0.25">
      <c r="B194" s="79"/>
      <c r="D194" s="85"/>
      <c r="M194" s="6"/>
      <c r="N194" s="16"/>
      <c r="O194" s="6" t="s">
        <v>2</v>
      </c>
      <c r="P194" s="13"/>
    </row>
    <row r="195" spans="2:16" x14ac:dyDescent="0.25">
      <c r="B195" s="79"/>
      <c r="D195" s="85"/>
      <c r="M195" s="6"/>
      <c r="N195" s="16"/>
      <c r="O195" s="6" t="s">
        <v>2</v>
      </c>
      <c r="P195" s="13"/>
    </row>
    <row r="196" spans="2:16" x14ac:dyDescent="0.25">
      <c r="B196" s="79"/>
      <c r="D196" s="85"/>
      <c r="M196" s="6"/>
      <c r="N196" s="16"/>
      <c r="O196" s="6" t="s">
        <v>2</v>
      </c>
      <c r="P196" s="13"/>
    </row>
    <row r="197" spans="2:16" x14ac:dyDescent="0.25">
      <c r="B197" s="79"/>
      <c r="D197" s="85"/>
      <c r="M197" s="6"/>
      <c r="N197" s="16"/>
      <c r="O197" s="6" t="s">
        <v>2</v>
      </c>
      <c r="P197" s="13"/>
    </row>
    <row r="198" spans="2:16" x14ac:dyDescent="0.25">
      <c r="B198" s="79"/>
      <c r="D198" s="85"/>
      <c r="M198" s="6"/>
      <c r="N198" s="16"/>
      <c r="O198" s="6" t="s">
        <v>2</v>
      </c>
      <c r="P198" s="13"/>
    </row>
    <row r="199" spans="2:16" x14ac:dyDescent="0.25">
      <c r="B199" s="79"/>
      <c r="D199" s="85"/>
      <c r="M199" s="6"/>
      <c r="N199" s="16"/>
      <c r="O199" s="6" t="s">
        <v>2</v>
      </c>
      <c r="P199" s="13"/>
    </row>
    <row r="200" spans="2:16" x14ac:dyDescent="0.25">
      <c r="B200" s="79"/>
      <c r="D200" s="85"/>
      <c r="M200" s="6"/>
      <c r="N200" s="16"/>
      <c r="O200" s="6" t="s">
        <v>2</v>
      </c>
      <c r="P200" s="13"/>
    </row>
    <row r="201" spans="2:16" x14ac:dyDescent="0.25">
      <c r="B201" s="79"/>
      <c r="D201" s="85"/>
      <c r="M201" s="6"/>
      <c r="N201" s="16"/>
      <c r="O201" s="6" t="s">
        <v>2</v>
      </c>
      <c r="P201" s="13"/>
    </row>
    <row r="202" spans="2:16" x14ac:dyDescent="0.25">
      <c r="B202" s="79"/>
      <c r="D202" s="85"/>
      <c r="M202" s="6"/>
      <c r="N202" s="16"/>
      <c r="O202" s="6" t="s">
        <v>2</v>
      </c>
      <c r="P202" s="13"/>
    </row>
    <row r="203" spans="2:16" x14ac:dyDescent="0.25">
      <c r="B203" s="79"/>
      <c r="D203" s="85"/>
      <c r="M203" s="6"/>
      <c r="N203" s="16"/>
      <c r="O203" s="6" t="s">
        <v>2</v>
      </c>
      <c r="P203" s="13"/>
    </row>
    <row r="204" spans="2:16" x14ac:dyDescent="0.25">
      <c r="B204" s="79"/>
      <c r="D204" s="85"/>
      <c r="M204" s="6"/>
      <c r="N204" s="16"/>
      <c r="O204" s="6" t="s">
        <v>2</v>
      </c>
      <c r="P204" s="13"/>
    </row>
    <row r="205" spans="2:16" x14ac:dyDescent="0.25">
      <c r="B205" s="79"/>
      <c r="D205" s="85"/>
      <c r="M205" s="6"/>
      <c r="N205" s="16"/>
      <c r="O205" s="6" t="s">
        <v>2</v>
      </c>
      <c r="P205" s="13"/>
    </row>
    <row r="206" spans="2:16" x14ac:dyDescent="0.25">
      <c r="B206" s="79"/>
      <c r="D206" s="85"/>
      <c r="M206" s="6"/>
      <c r="N206" s="16"/>
      <c r="O206" s="6" t="s">
        <v>2</v>
      </c>
      <c r="P206" s="13"/>
    </row>
    <row r="207" spans="2:16" x14ac:dyDescent="0.25">
      <c r="B207" s="79"/>
      <c r="D207" s="85"/>
      <c r="M207" s="6"/>
      <c r="N207" s="16"/>
      <c r="O207" s="6" t="s">
        <v>2</v>
      </c>
      <c r="P207" s="13"/>
    </row>
    <row r="208" spans="2:16" x14ac:dyDescent="0.25">
      <c r="B208" s="79"/>
      <c r="D208" s="85"/>
      <c r="M208" s="6"/>
      <c r="N208" s="16"/>
      <c r="O208" s="6" t="s">
        <v>2</v>
      </c>
      <c r="P208" s="13"/>
    </row>
    <row r="209" spans="2:16" x14ac:dyDescent="0.25">
      <c r="B209" s="79"/>
      <c r="D209" s="85"/>
      <c r="M209" s="6"/>
      <c r="N209" s="16"/>
      <c r="O209" s="6" t="s">
        <v>2</v>
      </c>
      <c r="P209" s="13"/>
    </row>
    <row r="210" spans="2:16" x14ac:dyDescent="0.25">
      <c r="B210" s="79"/>
      <c r="D210" s="85"/>
      <c r="M210" s="6"/>
      <c r="N210" s="16"/>
      <c r="O210" s="6" t="s">
        <v>2</v>
      </c>
      <c r="P210" s="13"/>
    </row>
    <row r="211" spans="2:16" x14ac:dyDescent="0.25">
      <c r="B211" s="79"/>
      <c r="D211" s="85"/>
      <c r="M211" s="6"/>
      <c r="N211" s="16"/>
      <c r="O211" s="6" t="s">
        <v>2</v>
      </c>
      <c r="P211" s="13"/>
    </row>
    <row r="212" spans="2:16" x14ac:dyDescent="0.25">
      <c r="B212" s="79"/>
      <c r="D212" s="85"/>
      <c r="M212" s="6"/>
      <c r="N212" s="16"/>
      <c r="O212" s="6" t="s">
        <v>2</v>
      </c>
      <c r="P212" s="13"/>
    </row>
    <row r="213" spans="2:16" x14ac:dyDescent="0.25">
      <c r="B213" s="79"/>
      <c r="D213" s="85"/>
      <c r="M213" s="6"/>
      <c r="N213" s="16"/>
      <c r="O213" s="6" t="s">
        <v>2</v>
      </c>
      <c r="P213" s="13"/>
    </row>
    <row r="214" spans="2:16" x14ac:dyDescent="0.25">
      <c r="B214" s="79"/>
      <c r="D214" s="85"/>
      <c r="M214" s="6"/>
      <c r="N214" s="16"/>
      <c r="O214" s="6" t="s">
        <v>2</v>
      </c>
      <c r="P214" s="13"/>
    </row>
    <row r="215" spans="2:16" x14ac:dyDescent="0.25">
      <c r="B215" s="79"/>
      <c r="D215" s="85"/>
      <c r="M215" s="6"/>
      <c r="N215" s="16"/>
      <c r="O215" s="6" t="s">
        <v>2</v>
      </c>
      <c r="P215" s="13"/>
    </row>
    <row r="216" spans="2:16" x14ac:dyDescent="0.25">
      <c r="B216" s="79"/>
      <c r="D216" s="85"/>
      <c r="M216" s="6"/>
      <c r="N216" s="16"/>
      <c r="O216" s="6" t="s">
        <v>2</v>
      </c>
      <c r="P216" s="13"/>
    </row>
    <row r="217" spans="2:16" x14ac:dyDescent="0.25">
      <c r="B217" s="79"/>
      <c r="D217" s="85"/>
      <c r="M217" s="6"/>
      <c r="N217" s="16"/>
      <c r="O217" s="6" t="s">
        <v>2</v>
      </c>
      <c r="P217" s="13"/>
    </row>
    <row r="218" spans="2:16" x14ac:dyDescent="0.25">
      <c r="B218" s="79"/>
      <c r="D218" s="85"/>
      <c r="M218" s="6"/>
      <c r="N218" s="16"/>
      <c r="O218" s="6" t="s">
        <v>2</v>
      </c>
      <c r="P218" s="13"/>
    </row>
    <row r="219" spans="2:16" x14ac:dyDescent="0.25">
      <c r="B219" s="79"/>
      <c r="D219" s="85"/>
      <c r="M219" s="6"/>
      <c r="N219" s="16"/>
      <c r="O219" s="6" t="s">
        <v>2</v>
      </c>
      <c r="P219" s="13"/>
    </row>
    <row r="220" spans="2:16" x14ac:dyDescent="0.25">
      <c r="B220" s="79"/>
      <c r="D220" s="85"/>
      <c r="M220" s="6"/>
      <c r="N220" s="16"/>
      <c r="O220" s="6" t="s">
        <v>2</v>
      </c>
      <c r="P220" s="13"/>
    </row>
    <row r="221" spans="2:16" x14ac:dyDescent="0.25">
      <c r="B221" s="79"/>
      <c r="D221" s="85"/>
      <c r="M221" s="6"/>
      <c r="N221" s="16"/>
      <c r="O221" s="6" t="s">
        <v>2</v>
      </c>
      <c r="P221" s="13"/>
    </row>
    <row r="222" spans="2:16" x14ac:dyDescent="0.25">
      <c r="B222" s="79"/>
      <c r="D222" s="85"/>
      <c r="M222" s="6"/>
      <c r="N222" s="16"/>
      <c r="O222" s="6" t="s">
        <v>2</v>
      </c>
      <c r="P222" s="13"/>
    </row>
    <row r="223" spans="2:16" x14ac:dyDescent="0.25">
      <c r="B223" s="79"/>
      <c r="D223" s="85"/>
      <c r="M223" s="6"/>
      <c r="N223" s="16"/>
      <c r="O223" s="6" t="s">
        <v>2</v>
      </c>
      <c r="P223" s="13"/>
    </row>
    <row r="224" spans="2:16" x14ac:dyDescent="0.25">
      <c r="B224" s="79"/>
      <c r="D224" s="85"/>
      <c r="M224" s="6"/>
      <c r="N224" s="16"/>
      <c r="O224" s="6" t="s">
        <v>2</v>
      </c>
      <c r="P224" s="13"/>
    </row>
    <row r="225" spans="2:16" x14ac:dyDescent="0.25">
      <c r="B225" s="79"/>
      <c r="D225" s="85"/>
      <c r="M225" s="6"/>
      <c r="N225" s="16"/>
      <c r="O225" s="6" t="s">
        <v>2</v>
      </c>
      <c r="P225" s="13"/>
    </row>
    <row r="226" spans="2:16" x14ac:dyDescent="0.25">
      <c r="B226" s="79"/>
      <c r="D226" s="85"/>
      <c r="M226" s="6"/>
      <c r="N226" s="16"/>
      <c r="O226" s="6" t="s">
        <v>2</v>
      </c>
      <c r="P226" s="13"/>
    </row>
    <row r="227" spans="2:16" x14ac:dyDescent="0.25">
      <c r="B227" s="79"/>
      <c r="D227" s="85"/>
      <c r="M227" s="6"/>
      <c r="N227" s="16"/>
      <c r="O227" s="6" t="s">
        <v>2</v>
      </c>
      <c r="P227" s="13"/>
    </row>
    <row r="228" spans="2:16" x14ac:dyDescent="0.25">
      <c r="B228" s="79"/>
      <c r="D228" s="85"/>
      <c r="M228" s="6"/>
      <c r="N228" s="16"/>
      <c r="O228" s="6" t="s">
        <v>2</v>
      </c>
      <c r="P228" s="13"/>
    </row>
    <row r="229" spans="2:16" x14ac:dyDescent="0.25">
      <c r="B229" s="79"/>
      <c r="D229" s="85"/>
      <c r="M229" s="6"/>
      <c r="N229" s="16"/>
      <c r="O229" s="6" t="s">
        <v>2</v>
      </c>
      <c r="P229" s="13"/>
    </row>
    <row r="230" spans="2:16" x14ac:dyDescent="0.25">
      <c r="B230" s="79"/>
      <c r="D230" s="85"/>
      <c r="M230" s="6"/>
      <c r="N230" s="16"/>
      <c r="O230" s="6" t="s">
        <v>2</v>
      </c>
      <c r="P230" s="13"/>
    </row>
    <row r="231" spans="2:16" x14ac:dyDescent="0.25">
      <c r="B231" s="79"/>
      <c r="D231" s="85"/>
      <c r="M231" s="6"/>
      <c r="N231" s="16"/>
      <c r="O231" s="6" t="s">
        <v>2</v>
      </c>
      <c r="P231" s="13"/>
    </row>
    <row r="232" spans="2:16" x14ac:dyDescent="0.25">
      <c r="B232" s="79"/>
      <c r="D232" s="85"/>
      <c r="M232" s="6"/>
      <c r="N232" s="16"/>
      <c r="O232" s="6" t="s">
        <v>2</v>
      </c>
      <c r="P232" s="13"/>
    </row>
    <row r="233" spans="2:16" x14ac:dyDescent="0.25">
      <c r="B233" s="79"/>
      <c r="D233" s="85"/>
      <c r="M233" s="6"/>
      <c r="N233" s="16"/>
      <c r="O233" s="6" t="s">
        <v>2</v>
      </c>
      <c r="P233" s="13"/>
    </row>
    <row r="234" spans="2:16" x14ac:dyDescent="0.25">
      <c r="B234" s="79"/>
      <c r="D234" s="85"/>
      <c r="M234" s="6"/>
      <c r="N234" s="16"/>
      <c r="O234" s="6" t="s">
        <v>2</v>
      </c>
      <c r="P234" s="13"/>
    </row>
    <row r="235" spans="2:16" x14ac:dyDescent="0.25">
      <c r="B235" s="79"/>
      <c r="D235" s="85"/>
      <c r="M235" s="6"/>
      <c r="N235" s="16"/>
      <c r="O235" s="6" t="s">
        <v>2</v>
      </c>
      <c r="P235" s="13"/>
    </row>
    <row r="236" spans="2:16" x14ac:dyDescent="0.25">
      <c r="B236" s="79"/>
      <c r="D236" s="85"/>
      <c r="M236" s="6"/>
      <c r="N236" s="16"/>
      <c r="O236" s="6" t="s">
        <v>2</v>
      </c>
      <c r="P236" s="13"/>
    </row>
    <row r="237" spans="2:16" x14ac:dyDescent="0.25">
      <c r="B237" s="79"/>
      <c r="D237" s="85"/>
      <c r="M237" s="6"/>
      <c r="N237" s="16"/>
      <c r="O237" s="6" t="s">
        <v>2</v>
      </c>
      <c r="P237" s="13"/>
    </row>
    <row r="238" spans="2:16" x14ac:dyDescent="0.25">
      <c r="B238" s="79"/>
      <c r="D238" s="85"/>
      <c r="M238" s="6"/>
      <c r="N238" s="16"/>
      <c r="O238" s="6" t="s">
        <v>2</v>
      </c>
      <c r="P238" s="13"/>
    </row>
    <row r="239" spans="2:16" x14ac:dyDescent="0.25">
      <c r="B239" s="79"/>
      <c r="D239" s="85"/>
      <c r="M239" s="6"/>
      <c r="N239" s="16"/>
      <c r="O239" s="6" t="s">
        <v>2</v>
      </c>
      <c r="P239" s="13"/>
    </row>
    <row r="240" spans="2:16" x14ac:dyDescent="0.25">
      <c r="B240" s="79"/>
      <c r="D240" s="85"/>
      <c r="M240" s="6"/>
      <c r="N240" s="16"/>
      <c r="O240" s="6" t="s">
        <v>2</v>
      </c>
      <c r="P240" s="13"/>
    </row>
    <row r="241" spans="2:16" x14ac:dyDescent="0.25">
      <c r="B241" s="79"/>
      <c r="D241" s="85"/>
      <c r="M241" s="6"/>
      <c r="N241" s="16"/>
      <c r="O241" s="6" t="s">
        <v>2</v>
      </c>
      <c r="P241" s="13"/>
    </row>
    <row r="242" spans="2:16" x14ac:dyDescent="0.25">
      <c r="B242" s="79"/>
      <c r="D242" s="85"/>
      <c r="M242" s="6"/>
      <c r="N242" s="16"/>
      <c r="O242" s="6" t="s">
        <v>2</v>
      </c>
      <c r="P242" s="13"/>
    </row>
    <row r="243" spans="2:16" x14ac:dyDescent="0.25">
      <c r="B243" s="79"/>
      <c r="D243" s="85"/>
      <c r="M243" s="6"/>
      <c r="N243" s="16"/>
      <c r="O243" s="6" t="s">
        <v>2</v>
      </c>
      <c r="P243" s="13"/>
    </row>
    <row r="244" spans="2:16" x14ac:dyDescent="0.25">
      <c r="B244" s="79"/>
      <c r="D244" s="85"/>
      <c r="M244" s="6"/>
      <c r="N244" s="16"/>
      <c r="O244" s="6" t="s">
        <v>2</v>
      </c>
      <c r="P244" s="13"/>
    </row>
    <row r="245" spans="2:16" x14ac:dyDescent="0.25">
      <c r="B245" s="79"/>
      <c r="D245" s="85"/>
      <c r="M245" s="6"/>
      <c r="N245" s="16"/>
      <c r="O245" s="6" t="s">
        <v>2</v>
      </c>
      <c r="P245" s="13"/>
    </row>
    <row r="246" spans="2:16" x14ac:dyDescent="0.25">
      <c r="B246" s="79"/>
      <c r="D246" s="85"/>
      <c r="M246" s="6"/>
      <c r="N246" s="16"/>
      <c r="O246" s="6" t="s">
        <v>2</v>
      </c>
      <c r="P246" s="13"/>
    </row>
    <row r="247" spans="2:16" x14ac:dyDescent="0.25">
      <c r="B247" s="79"/>
      <c r="D247" s="85"/>
      <c r="M247" s="6"/>
      <c r="N247" s="16"/>
      <c r="O247" s="6" t="s">
        <v>2</v>
      </c>
      <c r="P247" s="13"/>
    </row>
    <row r="248" spans="2:16" x14ac:dyDescent="0.25">
      <c r="B248" s="79"/>
      <c r="D248" s="85"/>
      <c r="M248" s="6"/>
      <c r="N248" s="16"/>
      <c r="O248" s="6" t="s">
        <v>2</v>
      </c>
      <c r="P248" s="13"/>
    </row>
    <row r="249" spans="2:16" x14ac:dyDescent="0.25">
      <c r="B249" s="79"/>
      <c r="D249" s="85"/>
      <c r="M249" s="6"/>
      <c r="N249" s="16"/>
      <c r="O249" s="6" t="s">
        <v>2</v>
      </c>
      <c r="P249" s="13"/>
    </row>
    <row r="250" spans="2:16" x14ac:dyDescent="0.25">
      <c r="B250" s="79"/>
      <c r="D250" s="85"/>
      <c r="M250" s="6"/>
      <c r="N250" s="16"/>
      <c r="O250" s="6" t="s">
        <v>2</v>
      </c>
      <c r="P250" s="6"/>
    </row>
    <row r="251" spans="2:16" x14ac:dyDescent="0.25">
      <c r="B251" s="79"/>
      <c r="D251" s="85"/>
      <c r="M251" s="6"/>
      <c r="N251" s="16"/>
      <c r="O251" s="6" t="s">
        <v>2</v>
      </c>
      <c r="P251" s="6"/>
    </row>
    <row r="252" spans="2:16" x14ac:dyDescent="0.25">
      <c r="B252" s="79"/>
      <c r="D252" s="85"/>
      <c r="M252" s="6"/>
      <c r="N252" s="16"/>
      <c r="O252" s="6" t="s">
        <v>2</v>
      </c>
      <c r="P252" s="6"/>
    </row>
    <row r="253" spans="2:16" x14ac:dyDescent="0.25">
      <c r="B253" s="79"/>
      <c r="D253" s="85"/>
      <c r="M253" s="6"/>
      <c r="N253" s="16"/>
      <c r="O253" s="6" t="s">
        <v>2</v>
      </c>
      <c r="P253" s="6"/>
    </row>
    <row r="254" spans="2:16" x14ac:dyDescent="0.25">
      <c r="B254" s="79"/>
      <c r="D254" s="85"/>
      <c r="M254" s="6"/>
      <c r="N254" s="16"/>
      <c r="O254" s="6" t="s">
        <v>2</v>
      </c>
      <c r="P254" s="6"/>
    </row>
    <row r="255" spans="2:16" x14ac:dyDescent="0.25">
      <c r="B255" s="79"/>
      <c r="D255" s="85"/>
      <c r="M255" s="6"/>
      <c r="N255" s="16"/>
      <c r="O255" s="6" t="s">
        <v>2</v>
      </c>
      <c r="P255" s="6"/>
    </row>
    <row r="256" spans="2:16" x14ac:dyDescent="0.25">
      <c r="B256" s="79"/>
      <c r="D256" s="85"/>
      <c r="M256" s="6"/>
      <c r="N256" s="16"/>
      <c r="O256" s="6" t="s">
        <v>2</v>
      </c>
      <c r="P256" s="6"/>
    </row>
    <row r="257" spans="2:16" x14ac:dyDescent="0.25">
      <c r="B257" s="79"/>
      <c r="D257" s="85"/>
      <c r="M257" s="6"/>
      <c r="N257" s="16"/>
      <c r="O257" s="6" t="s">
        <v>2</v>
      </c>
      <c r="P257" s="6"/>
    </row>
    <row r="258" spans="2:16" x14ac:dyDescent="0.25">
      <c r="B258" s="79"/>
      <c r="D258" s="85"/>
      <c r="M258" s="6"/>
      <c r="N258" s="16"/>
      <c r="O258" s="6" t="s">
        <v>2</v>
      </c>
      <c r="P258" s="6"/>
    </row>
    <row r="259" spans="2:16" x14ac:dyDescent="0.25">
      <c r="B259" s="79"/>
      <c r="D259" s="85"/>
      <c r="M259" s="6"/>
      <c r="N259" s="16"/>
      <c r="O259" s="6" t="s">
        <v>2</v>
      </c>
      <c r="P259" s="6"/>
    </row>
    <row r="260" spans="2:16" x14ac:dyDescent="0.25">
      <c r="B260" s="79"/>
      <c r="D260" s="85"/>
      <c r="M260" s="6"/>
      <c r="N260" s="16"/>
      <c r="O260" s="6" t="s">
        <v>2</v>
      </c>
      <c r="P260" s="6"/>
    </row>
    <row r="261" spans="2:16" x14ac:dyDescent="0.25">
      <c r="B261" s="79"/>
      <c r="M261" s="6"/>
      <c r="N261" s="16"/>
      <c r="O261" s="6" t="s">
        <v>2</v>
      </c>
      <c r="P261" s="6"/>
    </row>
    <row r="262" spans="2:16" x14ac:dyDescent="0.25">
      <c r="B262" s="79"/>
      <c r="M262" s="6"/>
      <c r="N262" s="16"/>
      <c r="O262" s="6" t="s">
        <v>2</v>
      </c>
      <c r="P262" s="6"/>
    </row>
    <row r="263" spans="2:16" x14ac:dyDescent="0.25">
      <c r="B263" s="79"/>
      <c r="M263" s="6"/>
      <c r="N263" s="16"/>
      <c r="O263" s="6" t="s">
        <v>2</v>
      </c>
      <c r="P263" s="6"/>
    </row>
    <row r="264" spans="2:16" x14ac:dyDescent="0.25">
      <c r="B264" s="79"/>
      <c r="M264" s="6"/>
      <c r="N264" s="16"/>
      <c r="O264" s="6" t="s">
        <v>2</v>
      </c>
      <c r="P264" s="6"/>
    </row>
    <row r="265" spans="2:16" x14ac:dyDescent="0.25">
      <c r="B265" s="79"/>
      <c r="M265" s="6"/>
      <c r="N265" s="16"/>
      <c r="O265" s="6" t="s">
        <v>2</v>
      </c>
      <c r="P265" s="6"/>
    </row>
    <row r="266" spans="2:16" x14ac:dyDescent="0.25">
      <c r="B266" s="79"/>
      <c r="M266" s="6"/>
      <c r="N266" s="16"/>
      <c r="O266" s="6" t="s">
        <v>2</v>
      </c>
      <c r="P266" s="6"/>
    </row>
    <row r="267" spans="2:16" x14ac:dyDescent="0.25">
      <c r="B267" s="79"/>
      <c r="M267" s="6"/>
      <c r="N267" s="16"/>
      <c r="O267" s="6" t="s">
        <v>2</v>
      </c>
      <c r="P267" s="6"/>
    </row>
    <row r="268" spans="2:16" x14ac:dyDescent="0.25">
      <c r="B268" s="79"/>
      <c r="M268" s="6"/>
      <c r="N268" s="16"/>
      <c r="O268" s="6" t="s">
        <v>2</v>
      </c>
      <c r="P268" s="6"/>
    </row>
    <row r="269" spans="2:16" x14ac:dyDescent="0.25">
      <c r="B269" s="79"/>
      <c r="M269" s="6"/>
      <c r="N269" s="16"/>
      <c r="O269" s="6" t="s">
        <v>2</v>
      </c>
      <c r="P269" s="6"/>
    </row>
    <row r="270" spans="2:16" x14ac:dyDescent="0.25">
      <c r="B270" s="79"/>
      <c r="M270" s="6"/>
      <c r="N270" s="16"/>
      <c r="O270" s="6" t="s">
        <v>2</v>
      </c>
      <c r="P270" s="6"/>
    </row>
    <row r="271" spans="2:16" x14ac:dyDescent="0.25">
      <c r="B271" s="79"/>
      <c r="M271" s="6"/>
      <c r="N271" s="16"/>
      <c r="O271" s="6" t="s">
        <v>2</v>
      </c>
      <c r="P271" s="6"/>
    </row>
    <row r="272" spans="2:16" x14ac:dyDescent="0.25">
      <c r="B272" s="79"/>
      <c r="M272" s="6"/>
      <c r="N272" s="16"/>
      <c r="O272" s="6" t="s">
        <v>2</v>
      </c>
      <c r="P272" s="6"/>
    </row>
    <row r="273" spans="2:16" x14ac:dyDescent="0.25">
      <c r="B273" s="79"/>
      <c r="M273" s="6"/>
      <c r="N273" s="16"/>
      <c r="O273" s="6" t="s">
        <v>2</v>
      </c>
      <c r="P273" s="6"/>
    </row>
    <row r="274" spans="2:16" x14ac:dyDescent="0.25">
      <c r="B274" s="79"/>
      <c r="M274" s="6"/>
      <c r="N274" s="16"/>
      <c r="O274" s="6" t="s">
        <v>2</v>
      </c>
      <c r="P274" s="6"/>
    </row>
    <row r="275" spans="2:16" x14ac:dyDescent="0.25">
      <c r="B275" s="79"/>
      <c r="M275" s="6"/>
      <c r="N275" s="16"/>
      <c r="O275" s="6" t="s">
        <v>2</v>
      </c>
      <c r="P275" s="6"/>
    </row>
    <row r="276" spans="2:16" x14ac:dyDescent="0.25">
      <c r="B276" s="79"/>
      <c r="M276" s="6"/>
      <c r="N276" s="16"/>
      <c r="O276" s="6" t="s">
        <v>2</v>
      </c>
      <c r="P276" s="6"/>
    </row>
    <row r="277" spans="2:16" x14ac:dyDescent="0.25">
      <c r="B277" s="79"/>
      <c r="M277" s="6"/>
      <c r="N277" s="16"/>
      <c r="O277" s="6" t="s">
        <v>2</v>
      </c>
      <c r="P277" s="6"/>
    </row>
    <row r="278" spans="2:16" x14ac:dyDescent="0.25">
      <c r="B278" s="79"/>
      <c r="M278" s="6"/>
      <c r="N278" s="16"/>
      <c r="O278" s="6" t="s">
        <v>2</v>
      </c>
      <c r="P278" s="6"/>
    </row>
    <row r="279" spans="2:16" x14ac:dyDescent="0.25">
      <c r="B279" s="79"/>
      <c r="M279" s="6"/>
      <c r="N279" s="16"/>
      <c r="O279" s="6" t="s">
        <v>2</v>
      </c>
      <c r="P279" s="6"/>
    </row>
    <row r="280" spans="2:16" x14ac:dyDescent="0.25">
      <c r="B280" s="79"/>
      <c r="M280" s="6"/>
      <c r="N280" s="16"/>
      <c r="O280" s="6" t="s">
        <v>2</v>
      </c>
      <c r="P280" s="6"/>
    </row>
    <row r="281" spans="2:16" x14ac:dyDescent="0.25">
      <c r="B281" s="79"/>
      <c r="M281" s="6"/>
      <c r="N281" s="16"/>
      <c r="O281" s="6" t="s">
        <v>2</v>
      </c>
      <c r="P281" s="6"/>
    </row>
    <row r="282" spans="2:16" x14ac:dyDescent="0.25">
      <c r="B282" s="79"/>
      <c r="M282" s="6"/>
      <c r="N282" s="16"/>
      <c r="O282" s="6" t="s">
        <v>2</v>
      </c>
      <c r="P282" s="6"/>
    </row>
    <row r="283" spans="2:16" x14ac:dyDescent="0.25">
      <c r="B283" s="79"/>
      <c r="M283" s="6"/>
      <c r="N283" s="16"/>
      <c r="O283" s="6" t="s">
        <v>2</v>
      </c>
      <c r="P283" s="6"/>
    </row>
    <row r="284" spans="2:16" x14ac:dyDescent="0.25">
      <c r="B284" s="79"/>
      <c r="M284" s="6"/>
      <c r="N284" s="16"/>
      <c r="O284" s="6" t="s">
        <v>2</v>
      </c>
      <c r="P284" s="6"/>
    </row>
    <row r="285" spans="2:16" x14ac:dyDescent="0.25">
      <c r="B285" s="79"/>
      <c r="M285" s="6"/>
      <c r="N285" s="16"/>
      <c r="O285" s="6" t="s">
        <v>2</v>
      </c>
      <c r="P285" s="6"/>
    </row>
    <row r="286" spans="2:16" x14ac:dyDescent="0.25">
      <c r="B286" s="79"/>
      <c r="M286" s="6"/>
      <c r="N286" s="16"/>
      <c r="O286" s="6" t="s">
        <v>2</v>
      </c>
      <c r="P286" s="6"/>
    </row>
    <row r="287" spans="2:16" x14ac:dyDescent="0.25">
      <c r="B287" s="79"/>
      <c r="M287" s="6"/>
      <c r="N287" s="16"/>
      <c r="O287" s="6" t="s">
        <v>2</v>
      </c>
      <c r="P287" s="6"/>
    </row>
    <row r="288" spans="2:16" x14ac:dyDescent="0.25">
      <c r="B288" s="79"/>
      <c r="M288" s="6"/>
      <c r="N288" s="16"/>
      <c r="O288" s="6" t="s">
        <v>2</v>
      </c>
      <c r="P288" s="6"/>
    </row>
    <row r="289" spans="2:16" x14ac:dyDescent="0.25">
      <c r="B289" s="79"/>
      <c r="M289" s="6"/>
      <c r="N289" s="16"/>
      <c r="O289" s="6" t="s">
        <v>2</v>
      </c>
      <c r="P289" s="6"/>
    </row>
    <row r="290" spans="2:16" x14ac:dyDescent="0.25">
      <c r="B290" s="79"/>
      <c r="M290" s="6"/>
      <c r="N290" s="16"/>
      <c r="O290" s="6" t="s">
        <v>2</v>
      </c>
      <c r="P290" s="6"/>
    </row>
    <row r="291" spans="2:16" x14ac:dyDescent="0.25">
      <c r="B291" s="79"/>
      <c r="M291" s="6"/>
      <c r="N291" s="16"/>
      <c r="O291" s="6" t="s">
        <v>2</v>
      </c>
      <c r="P291" s="6"/>
    </row>
    <row r="292" spans="2:16" x14ac:dyDescent="0.25">
      <c r="B292" s="79"/>
      <c r="M292" s="6"/>
      <c r="N292" s="16"/>
      <c r="O292" s="6" t="s">
        <v>2</v>
      </c>
      <c r="P292" s="6"/>
    </row>
    <row r="293" spans="2:16" x14ac:dyDescent="0.25">
      <c r="B293" s="79"/>
      <c r="M293" s="6"/>
      <c r="N293" s="16"/>
      <c r="O293" s="6" t="s">
        <v>2</v>
      </c>
      <c r="P293" s="6"/>
    </row>
    <row r="294" spans="2:16" x14ac:dyDescent="0.25">
      <c r="B294" s="79"/>
      <c r="M294" s="6"/>
      <c r="N294" s="16"/>
      <c r="O294" s="6" t="s">
        <v>2</v>
      </c>
      <c r="P294" s="6"/>
    </row>
    <row r="295" spans="2:16" x14ac:dyDescent="0.25">
      <c r="B295" s="79"/>
      <c r="M295" s="6"/>
      <c r="N295" s="16"/>
      <c r="O295" s="6" t="s">
        <v>2</v>
      </c>
      <c r="P295" s="6"/>
    </row>
    <row r="296" spans="2:16" x14ac:dyDescent="0.25">
      <c r="B296" s="79"/>
      <c r="M296" s="6"/>
      <c r="N296" s="16"/>
      <c r="O296" s="6" t="s">
        <v>2</v>
      </c>
      <c r="P296" s="6"/>
    </row>
    <row r="297" spans="2:16" x14ac:dyDescent="0.25">
      <c r="B297" s="79"/>
      <c r="M297" s="6"/>
      <c r="N297" s="16"/>
      <c r="O297" s="6" t="s">
        <v>2</v>
      </c>
      <c r="P297" s="6"/>
    </row>
    <row r="298" spans="2:16" x14ac:dyDescent="0.25">
      <c r="B298" s="79"/>
      <c r="M298" s="6"/>
      <c r="N298" s="16"/>
      <c r="O298" s="6" t="s">
        <v>2</v>
      </c>
      <c r="P298" s="6"/>
    </row>
    <row r="299" spans="2:16" x14ac:dyDescent="0.25">
      <c r="B299" s="79"/>
      <c r="M299" s="6"/>
      <c r="N299" s="16"/>
      <c r="O299" s="6" t="s">
        <v>2</v>
      </c>
      <c r="P299" s="6"/>
    </row>
    <row r="300" spans="2:16" x14ac:dyDescent="0.25">
      <c r="B300" s="79"/>
      <c r="M300" s="6"/>
      <c r="N300" s="16"/>
      <c r="O300" s="6" t="s">
        <v>2</v>
      </c>
      <c r="P300" s="6"/>
    </row>
    <row r="301" spans="2:16" x14ac:dyDescent="0.25">
      <c r="B301" s="79"/>
      <c r="M301" s="6"/>
      <c r="N301" s="16"/>
      <c r="O301" s="6" t="s">
        <v>2</v>
      </c>
      <c r="P301" s="6"/>
    </row>
    <row r="302" spans="2:16" x14ac:dyDescent="0.25">
      <c r="B302" s="79"/>
      <c r="M302" s="6"/>
      <c r="N302" s="16"/>
      <c r="O302" s="6" t="s">
        <v>2</v>
      </c>
      <c r="P302" s="6"/>
    </row>
    <row r="303" spans="2:16" x14ac:dyDescent="0.25">
      <c r="B303" s="79"/>
      <c r="M303" s="6"/>
      <c r="N303" s="16"/>
      <c r="O303" s="6" t="s">
        <v>2</v>
      </c>
      <c r="P303" s="6"/>
    </row>
    <row r="304" spans="2:16" x14ac:dyDescent="0.25">
      <c r="B304" s="79"/>
      <c r="M304" s="6"/>
      <c r="N304" s="16"/>
      <c r="O304" s="6" t="s">
        <v>2</v>
      </c>
      <c r="P304" s="6"/>
    </row>
    <row r="305" spans="2:16" x14ac:dyDescent="0.25">
      <c r="B305" s="79"/>
      <c r="M305" s="6"/>
      <c r="N305" s="16"/>
      <c r="O305" s="6" t="s">
        <v>2</v>
      </c>
      <c r="P305" s="6"/>
    </row>
    <row r="306" spans="2:16" x14ac:dyDescent="0.25">
      <c r="B306" s="79"/>
      <c r="M306" s="6"/>
      <c r="N306" s="16"/>
      <c r="O306" s="6" t="s">
        <v>2</v>
      </c>
      <c r="P306" s="6"/>
    </row>
    <row r="307" spans="2:16" x14ac:dyDescent="0.25">
      <c r="B307" s="79"/>
      <c r="M307" s="6"/>
      <c r="N307" s="16"/>
      <c r="O307" s="6" t="s">
        <v>2</v>
      </c>
      <c r="P307" s="6"/>
    </row>
    <row r="308" spans="2:16" x14ac:dyDescent="0.25">
      <c r="B308" s="79"/>
      <c r="M308" s="6"/>
      <c r="N308" s="16"/>
      <c r="O308" s="6" t="s">
        <v>2</v>
      </c>
      <c r="P308" s="6"/>
    </row>
    <row r="309" spans="2:16" x14ac:dyDescent="0.25">
      <c r="B309" s="79"/>
      <c r="M309" s="6"/>
      <c r="N309" s="16"/>
      <c r="O309" s="6" t="s">
        <v>2</v>
      </c>
      <c r="P309" s="6"/>
    </row>
    <row r="310" spans="2:16" x14ac:dyDescent="0.25">
      <c r="B310" s="79"/>
      <c r="M310" s="6"/>
      <c r="N310" s="16"/>
      <c r="O310" s="6" t="s">
        <v>2</v>
      </c>
      <c r="P310" s="6"/>
    </row>
    <row r="311" spans="2:16" x14ac:dyDescent="0.25">
      <c r="B311" s="79"/>
      <c r="M311" s="6"/>
      <c r="N311" s="16"/>
      <c r="O311" s="6" t="s">
        <v>2</v>
      </c>
      <c r="P311" s="6"/>
    </row>
    <row r="312" spans="2:16" x14ac:dyDescent="0.25">
      <c r="B312" s="79"/>
      <c r="M312" s="6"/>
      <c r="N312" s="16"/>
      <c r="O312" s="6" t="s">
        <v>2</v>
      </c>
      <c r="P312" s="6"/>
    </row>
    <row r="313" spans="2:16" x14ac:dyDescent="0.25">
      <c r="B313" s="79"/>
      <c r="M313" s="6"/>
      <c r="N313" s="16"/>
      <c r="O313" s="6" t="s">
        <v>2</v>
      </c>
      <c r="P313" s="6"/>
    </row>
    <row r="314" spans="2:16" x14ac:dyDescent="0.25">
      <c r="B314" s="79"/>
      <c r="M314" s="6"/>
      <c r="N314" s="16"/>
      <c r="O314" s="6" t="s">
        <v>2</v>
      </c>
      <c r="P314" s="6"/>
    </row>
    <row r="315" spans="2:16" x14ac:dyDescent="0.25">
      <c r="B315" s="79"/>
      <c r="M315" s="6"/>
      <c r="N315" s="16"/>
      <c r="O315" s="6" t="s">
        <v>2</v>
      </c>
      <c r="P315" s="6"/>
    </row>
    <row r="316" spans="2:16" x14ac:dyDescent="0.25">
      <c r="B316" s="79"/>
      <c r="M316" s="6"/>
      <c r="N316" s="16"/>
      <c r="O316" s="6" t="s">
        <v>2</v>
      </c>
      <c r="P316" s="6"/>
    </row>
    <row r="317" spans="2:16" x14ac:dyDescent="0.25">
      <c r="B317" s="79"/>
    </row>
    <row r="318" spans="2:16" x14ac:dyDescent="0.25">
      <c r="B318" s="79"/>
    </row>
    <row r="319" spans="2:16" x14ac:dyDescent="0.25">
      <c r="B319" s="79"/>
    </row>
    <row r="320" spans="2:16" x14ac:dyDescent="0.25">
      <c r="B320" s="79"/>
    </row>
    <row r="321" spans="2:2" x14ac:dyDescent="0.25">
      <c r="B321" s="79"/>
    </row>
    <row r="322" spans="2:2" x14ac:dyDescent="0.25">
      <c r="B322" s="79"/>
    </row>
    <row r="323" spans="2:2" x14ac:dyDescent="0.25">
      <c r="B323" s="79"/>
    </row>
    <row r="324" spans="2:2" x14ac:dyDescent="0.25">
      <c r="B324" s="79"/>
    </row>
    <row r="325" spans="2:2" x14ac:dyDescent="0.25">
      <c r="B325" s="79"/>
    </row>
    <row r="326" spans="2:2" x14ac:dyDescent="0.25">
      <c r="B326" s="79"/>
    </row>
    <row r="327" spans="2:2" x14ac:dyDescent="0.25">
      <c r="B327" s="79"/>
    </row>
    <row r="328" spans="2:2" x14ac:dyDescent="0.25">
      <c r="B328" s="79"/>
    </row>
    <row r="329" spans="2:2" x14ac:dyDescent="0.25">
      <c r="B329" s="79"/>
    </row>
    <row r="330" spans="2:2" x14ac:dyDescent="0.25">
      <c r="B330" s="79"/>
    </row>
    <row r="331" spans="2:2" x14ac:dyDescent="0.25">
      <c r="B331" s="79"/>
    </row>
    <row r="332" spans="2:2" x14ac:dyDescent="0.25">
      <c r="B332" s="79"/>
    </row>
    <row r="333" spans="2:2" x14ac:dyDescent="0.25">
      <c r="B333" s="79"/>
    </row>
    <row r="334" spans="2:2" x14ac:dyDescent="0.25">
      <c r="B334" s="79"/>
    </row>
    <row r="335" spans="2:2" x14ac:dyDescent="0.25">
      <c r="B335" s="79"/>
    </row>
    <row r="336" spans="2:2" x14ac:dyDescent="0.25">
      <c r="B336" s="79"/>
    </row>
    <row r="337" spans="2:2" x14ac:dyDescent="0.25">
      <c r="B337" s="79"/>
    </row>
    <row r="338" spans="2:2" x14ac:dyDescent="0.25">
      <c r="B338" s="79"/>
    </row>
    <row r="339" spans="2:2" x14ac:dyDescent="0.25">
      <c r="B339" s="79"/>
    </row>
    <row r="340" spans="2:2" x14ac:dyDescent="0.25">
      <c r="B340" s="79"/>
    </row>
    <row r="341" spans="2:2" x14ac:dyDescent="0.25">
      <c r="B341" s="79"/>
    </row>
    <row r="342" spans="2:2" x14ac:dyDescent="0.25">
      <c r="B342" s="79"/>
    </row>
    <row r="343" spans="2:2" x14ac:dyDescent="0.25">
      <c r="B343" s="79"/>
    </row>
    <row r="344" spans="2:2" x14ac:dyDescent="0.25">
      <c r="B344" s="79"/>
    </row>
    <row r="345" spans="2:2" x14ac:dyDescent="0.25">
      <c r="B345" s="79"/>
    </row>
    <row r="346" spans="2:2" x14ac:dyDescent="0.25">
      <c r="B346" s="79"/>
    </row>
    <row r="347" spans="2:2" x14ac:dyDescent="0.25">
      <c r="B347" s="79"/>
    </row>
    <row r="348" spans="2:2" x14ac:dyDescent="0.25">
      <c r="B348" s="79"/>
    </row>
    <row r="349" spans="2:2" x14ac:dyDescent="0.25">
      <c r="B349" s="79"/>
    </row>
    <row r="350" spans="2:2" x14ac:dyDescent="0.25">
      <c r="B350" s="79"/>
    </row>
    <row r="351" spans="2:2" x14ac:dyDescent="0.25">
      <c r="B351" s="79"/>
    </row>
    <row r="352" spans="2:2" x14ac:dyDescent="0.25">
      <c r="B352" s="79"/>
    </row>
    <row r="353" spans="2:2" x14ac:dyDescent="0.25">
      <c r="B353" s="79"/>
    </row>
    <row r="354" spans="2:2" x14ac:dyDescent="0.25">
      <c r="B354" s="79"/>
    </row>
    <row r="355" spans="2:2" x14ac:dyDescent="0.25">
      <c r="B355" s="79"/>
    </row>
    <row r="356" spans="2:2" x14ac:dyDescent="0.25">
      <c r="B356" s="79"/>
    </row>
    <row r="357" spans="2:2" x14ac:dyDescent="0.25">
      <c r="B357" s="79"/>
    </row>
    <row r="358" spans="2:2" x14ac:dyDescent="0.25">
      <c r="B358" s="79"/>
    </row>
    <row r="359" spans="2:2" x14ac:dyDescent="0.25">
      <c r="B359" s="79"/>
    </row>
    <row r="360" spans="2:2" x14ac:dyDescent="0.25">
      <c r="B360" s="79"/>
    </row>
    <row r="361" spans="2:2" x14ac:dyDescent="0.25">
      <c r="B361" s="79"/>
    </row>
    <row r="362" spans="2:2" x14ac:dyDescent="0.25">
      <c r="B362" s="79"/>
    </row>
    <row r="363" spans="2:2" x14ac:dyDescent="0.25">
      <c r="B363" s="79"/>
    </row>
    <row r="364" spans="2:2" x14ac:dyDescent="0.25">
      <c r="B364" s="79"/>
    </row>
    <row r="365" spans="2:2" x14ac:dyDescent="0.25">
      <c r="B365" s="79"/>
    </row>
    <row r="366" spans="2:2" x14ac:dyDescent="0.25">
      <c r="B366" s="79"/>
    </row>
    <row r="367" spans="2:2" x14ac:dyDescent="0.25">
      <c r="B367" s="79"/>
    </row>
    <row r="368" spans="2:2" x14ac:dyDescent="0.25">
      <c r="B368" s="79"/>
    </row>
    <row r="369" spans="2:2" x14ac:dyDescent="0.25">
      <c r="B369" s="79"/>
    </row>
    <row r="370" spans="2:2" x14ac:dyDescent="0.25">
      <c r="B370" s="79"/>
    </row>
    <row r="371" spans="2:2" x14ac:dyDescent="0.25">
      <c r="B371" s="79"/>
    </row>
    <row r="372" spans="2:2" x14ac:dyDescent="0.25">
      <c r="B372" s="79"/>
    </row>
    <row r="373" spans="2:2" x14ac:dyDescent="0.25">
      <c r="B373" s="79"/>
    </row>
    <row r="374" spans="2:2" x14ac:dyDescent="0.25">
      <c r="B374" s="79"/>
    </row>
    <row r="375" spans="2:2" x14ac:dyDescent="0.25">
      <c r="B375" s="79"/>
    </row>
    <row r="376" spans="2:2" x14ac:dyDescent="0.25">
      <c r="B376" s="79"/>
    </row>
    <row r="377" spans="2:2" x14ac:dyDescent="0.25">
      <c r="B377" s="79"/>
    </row>
    <row r="378" spans="2:2" x14ac:dyDescent="0.25">
      <c r="B378" s="79"/>
    </row>
    <row r="379" spans="2:2" x14ac:dyDescent="0.25">
      <c r="B379" s="79"/>
    </row>
    <row r="380" spans="2:2" x14ac:dyDescent="0.25">
      <c r="B380" s="79"/>
    </row>
    <row r="381" spans="2:2" x14ac:dyDescent="0.25">
      <c r="B381" s="79"/>
    </row>
    <row r="382" spans="2:2" x14ac:dyDescent="0.25">
      <c r="B382" s="79"/>
    </row>
    <row r="383" spans="2:2" x14ac:dyDescent="0.25">
      <c r="B383" s="79"/>
    </row>
    <row r="384" spans="2:2" x14ac:dyDescent="0.25">
      <c r="B384" s="79"/>
    </row>
    <row r="385" spans="2:2" x14ac:dyDescent="0.25">
      <c r="B385" s="79"/>
    </row>
    <row r="386" spans="2:2" x14ac:dyDescent="0.25">
      <c r="B386" s="79"/>
    </row>
    <row r="387" spans="2:2" x14ac:dyDescent="0.25">
      <c r="B387" s="79"/>
    </row>
    <row r="388" spans="2:2" x14ac:dyDescent="0.25">
      <c r="B388" s="79"/>
    </row>
    <row r="389" spans="2:2" x14ac:dyDescent="0.25">
      <c r="B389" s="79"/>
    </row>
    <row r="390" spans="2:2" x14ac:dyDescent="0.25">
      <c r="B390" s="79"/>
    </row>
    <row r="391" spans="2:2" x14ac:dyDescent="0.25">
      <c r="B391" s="79"/>
    </row>
    <row r="392" spans="2:2" x14ac:dyDescent="0.25">
      <c r="B392" s="79"/>
    </row>
    <row r="393" spans="2:2" x14ac:dyDescent="0.25">
      <c r="B393" s="79"/>
    </row>
    <row r="394" spans="2:2" x14ac:dyDescent="0.25">
      <c r="B394" s="79"/>
    </row>
    <row r="395" spans="2:2" x14ac:dyDescent="0.25">
      <c r="B395" s="79"/>
    </row>
    <row r="396" spans="2:2" x14ac:dyDescent="0.25">
      <c r="B396" s="79"/>
    </row>
    <row r="397" spans="2:2" x14ac:dyDescent="0.25">
      <c r="B397" s="79"/>
    </row>
    <row r="398" spans="2:2" x14ac:dyDescent="0.25">
      <c r="B398" s="79"/>
    </row>
    <row r="399" spans="2:2" x14ac:dyDescent="0.25">
      <c r="B399" s="79"/>
    </row>
    <row r="400" spans="2:2" x14ac:dyDescent="0.25">
      <c r="B400" s="79"/>
    </row>
    <row r="401" spans="2:2" x14ac:dyDescent="0.25">
      <c r="B401" s="79"/>
    </row>
    <row r="402" spans="2:2" x14ac:dyDescent="0.25">
      <c r="B402" s="79"/>
    </row>
    <row r="403" spans="2:2" x14ac:dyDescent="0.25">
      <c r="B403" s="79"/>
    </row>
    <row r="404" spans="2:2" x14ac:dyDescent="0.25">
      <c r="B404" s="79"/>
    </row>
    <row r="405" spans="2:2" x14ac:dyDescent="0.25">
      <c r="B405" s="79"/>
    </row>
    <row r="406" spans="2:2" x14ac:dyDescent="0.25">
      <c r="B406" s="79"/>
    </row>
    <row r="407" spans="2:2" x14ac:dyDescent="0.25">
      <c r="B407" s="79"/>
    </row>
    <row r="408" spans="2:2" x14ac:dyDescent="0.25">
      <c r="B408" s="79"/>
    </row>
    <row r="409" spans="2:2" x14ac:dyDescent="0.25">
      <c r="B409" s="79"/>
    </row>
    <row r="410" spans="2:2" x14ac:dyDescent="0.25">
      <c r="B410" s="79"/>
    </row>
    <row r="411" spans="2:2" x14ac:dyDescent="0.25">
      <c r="B411" s="79"/>
    </row>
    <row r="412" spans="2:2" x14ac:dyDescent="0.25">
      <c r="B412" s="79"/>
    </row>
    <row r="413" spans="2:2" x14ac:dyDescent="0.25">
      <c r="B413" s="79"/>
    </row>
    <row r="414" spans="2:2" x14ac:dyDescent="0.25">
      <c r="B414" s="79"/>
    </row>
    <row r="415" spans="2:2" x14ac:dyDescent="0.25">
      <c r="B415" s="79"/>
    </row>
    <row r="416" spans="2:2" x14ac:dyDescent="0.25">
      <c r="B416" s="79"/>
    </row>
    <row r="417" spans="2:2" x14ac:dyDescent="0.25">
      <c r="B417" s="79"/>
    </row>
    <row r="418" spans="2:2" x14ac:dyDescent="0.25">
      <c r="B418" s="79"/>
    </row>
    <row r="419" spans="2:2" x14ac:dyDescent="0.25">
      <c r="B419" s="79"/>
    </row>
    <row r="420" spans="2:2" x14ac:dyDescent="0.25">
      <c r="B420" s="79"/>
    </row>
    <row r="421" spans="2:2" x14ac:dyDescent="0.25">
      <c r="B421" s="79"/>
    </row>
    <row r="422" spans="2:2" x14ac:dyDescent="0.25">
      <c r="B422" s="79"/>
    </row>
    <row r="423" spans="2:2" x14ac:dyDescent="0.25">
      <c r="B423" s="79"/>
    </row>
    <row r="424" spans="2:2" x14ac:dyDescent="0.25">
      <c r="B424" s="79"/>
    </row>
    <row r="425" spans="2:2" x14ac:dyDescent="0.25">
      <c r="B425" s="79"/>
    </row>
    <row r="426" spans="2:2" x14ac:dyDescent="0.25">
      <c r="B426" s="79"/>
    </row>
    <row r="427" spans="2:2" x14ac:dyDescent="0.25">
      <c r="B427" s="79"/>
    </row>
    <row r="428" spans="2:2" x14ac:dyDescent="0.25">
      <c r="B428" s="79"/>
    </row>
    <row r="429" spans="2:2" x14ac:dyDescent="0.25">
      <c r="B429" s="79"/>
    </row>
    <row r="430" spans="2:2" x14ac:dyDescent="0.25">
      <c r="B430" s="79"/>
    </row>
    <row r="431" spans="2:2" x14ac:dyDescent="0.25">
      <c r="B431" s="79"/>
    </row>
    <row r="432" spans="2:2" x14ac:dyDescent="0.25">
      <c r="B432" s="79"/>
    </row>
    <row r="433" spans="2:2" x14ac:dyDescent="0.25">
      <c r="B433" s="79"/>
    </row>
    <row r="434" spans="2:2" x14ac:dyDescent="0.25">
      <c r="B434" s="79"/>
    </row>
    <row r="435" spans="2:2" x14ac:dyDescent="0.25">
      <c r="B435" s="79"/>
    </row>
    <row r="436" spans="2:2" x14ac:dyDescent="0.25">
      <c r="B436" s="79"/>
    </row>
    <row r="437" spans="2:2" x14ac:dyDescent="0.25">
      <c r="B437" s="79"/>
    </row>
    <row r="438" spans="2:2" x14ac:dyDescent="0.25">
      <c r="B438" s="79"/>
    </row>
    <row r="439" spans="2:2" x14ac:dyDescent="0.25">
      <c r="B439" s="79"/>
    </row>
    <row r="440" spans="2:2" x14ac:dyDescent="0.25">
      <c r="B440" s="79"/>
    </row>
    <row r="441" spans="2:2" x14ac:dyDescent="0.25">
      <c r="B441" s="79"/>
    </row>
    <row r="442" spans="2:2" x14ac:dyDescent="0.25">
      <c r="B442" s="79"/>
    </row>
    <row r="443" spans="2:2" x14ac:dyDescent="0.25">
      <c r="B443" s="79"/>
    </row>
    <row r="444" spans="2:2" x14ac:dyDescent="0.25">
      <c r="B444" s="79"/>
    </row>
  </sheetData>
  <mergeCells count="4">
    <mergeCell ref="A119:A120"/>
    <mergeCell ref="A2:N2"/>
    <mergeCell ref="A3:N3"/>
    <mergeCell ref="A1:L1"/>
  </mergeCells>
  <pageMargins left="0.78740157480314965" right="0" top="1.1417322834645669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Ingresos</vt:lpstr>
      <vt:lpstr>Funcionamiento</vt:lpstr>
      <vt:lpstr>Inversiones</vt:lpstr>
      <vt:lpstr>Funcionamiento!Área_de_impresión</vt:lpstr>
      <vt:lpstr>Ingresos!Área_de_impresión</vt:lpstr>
      <vt:lpstr>Inversiones!Área_de_impresión</vt:lpstr>
      <vt:lpstr>Funcionamiento!Títulos_a_imprimir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CASTILLO</dc:creator>
  <cp:lastModifiedBy>JAIME YOUNG</cp:lastModifiedBy>
  <cp:lastPrinted>2020-01-14T17:45:17Z</cp:lastPrinted>
  <dcterms:created xsi:type="dcterms:W3CDTF">2010-01-07T20:52:23Z</dcterms:created>
  <dcterms:modified xsi:type="dcterms:W3CDTF">2020-01-15T12:20:57Z</dcterms:modified>
</cp:coreProperties>
</file>