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PRESUPUESTO_SERVIDOR\INFORME DE EJECUCION 2019\Noviembre\web\"/>
    </mc:Choice>
  </mc:AlternateContent>
  <bookViews>
    <workbookView xWindow="0" yWindow="0" windowWidth="28800" windowHeight="11535" tabRatio="876"/>
  </bookViews>
  <sheets>
    <sheet name="Func" sheetId="24" r:id="rId1"/>
    <sheet name="Inversión" sheetId="23" r:id="rId2"/>
    <sheet name="Ingresos" sheetId="9" r:id="rId3"/>
  </sheets>
  <externalReferences>
    <externalReference r:id="rId4"/>
  </externalReferences>
  <definedNames>
    <definedName name="a">"$#REF!.$CP$1"</definedName>
    <definedName name="_xlnm.Print_Area" localSheetId="0">Func!$B$3:$O$247</definedName>
    <definedName name="_xlnm.Print_Area" localSheetId="2">Ingresos!$A$1:$I$31</definedName>
    <definedName name="_xlnm.Print_Area" localSheetId="1">Inversión!$A$2:$N$99</definedName>
    <definedName name="Excel_BuiltIn_Print_Area_12_1">"$#REF!.$A$1:$L$197"</definedName>
    <definedName name="Excel_BuiltIn_Print_Area_12_1_1">"$#REF!.$B$10:$L$205"</definedName>
    <definedName name="Excel_BuiltIn_Print_Area_12_1_1_1">"$#REF!.$B$10:$L$206"</definedName>
    <definedName name="Excel_BuiltIn_Print_Area_7">#REF!</definedName>
    <definedName name="Excel_BuiltIn_Print_Area_7_1">#REF!</definedName>
    <definedName name="Excel_BuiltIn_Print_Area_7_1_1">#REF!</definedName>
    <definedName name="Excel_BuiltIn_Print_Area_8_1">[1]INGRESOS!$A$6:$I$39</definedName>
    <definedName name="Excel_BuiltIn_Print_Area_8_1_1">[1]INGRESOS!$A$6:$I$40</definedName>
    <definedName name="Excel_BuiltIn_Print_Area_9_1">#REF!</definedName>
    <definedName name="Excel_BuiltIn_Print_Titles_11">#REF!</definedName>
    <definedName name="Excel_BuiltIn_Print_Titles_12_1">"$#REF!.$A$1:$B$65535;$#REF!.$A$1:$IV$7"</definedName>
    <definedName name="Excel_BuiltIn_Print_Titles_7">#REF!</definedName>
    <definedName name="Excel_BuiltIn_Print_Titles_7_1">"$cuadro_A_1.$#REF!$#REF!:$#REF!$#REF!"</definedName>
    <definedName name="Excel_BuiltIn_Print_Titles_8_1">[1]INGRESOS!$A$1:$IV$5</definedName>
    <definedName name="_xlnm.Print_Titles" localSheetId="0">Func!$7:$9</definedName>
  </definedNames>
  <calcPr calcId="152511"/>
</workbook>
</file>

<file path=xl/calcChain.xml><?xml version="1.0" encoding="utf-8"?>
<calcChain xmlns="http://schemas.openxmlformats.org/spreadsheetml/2006/main">
  <c r="Q23" i="24" l="1"/>
  <c r="Q22" i="24"/>
  <c r="Q18" i="24"/>
  <c r="Q14" i="24"/>
  <c r="E18" i="9" l="1"/>
  <c r="E15" i="9"/>
  <c r="E13" i="9"/>
  <c r="E12" i="9"/>
  <c r="Q217" i="24" l="1"/>
  <c r="K33" i="23"/>
  <c r="K57" i="23"/>
  <c r="J57" i="23"/>
  <c r="I57" i="23"/>
  <c r="H57" i="23"/>
  <c r="G57" i="23"/>
  <c r="F57" i="23"/>
  <c r="E57" i="23"/>
  <c r="L61" i="23"/>
  <c r="Q232" i="24"/>
  <c r="Q184" i="24"/>
  <c r="Q196" i="24"/>
  <c r="Q191" i="24"/>
  <c r="G200" i="24" l="1"/>
  <c r="F200" i="24"/>
  <c r="Q223" i="24"/>
  <c r="Q228" i="24"/>
  <c r="Q167" i="24"/>
  <c r="Q161" i="24"/>
  <c r="Q159" i="24"/>
  <c r="Q158" i="24"/>
  <c r="Q91" i="24"/>
  <c r="F229" i="24" l="1"/>
  <c r="F228" i="24"/>
  <c r="E14" i="24"/>
  <c r="F14" i="24" s="1"/>
  <c r="E201" i="24"/>
  <c r="E228" i="24"/>
  <c r="E162" i="24" l="1"/>
  <c r="H107" i="24"/>
  <c r="G96" i="24"/>
  <c r="L32" i="23" l="1"/>
  <c r="J28" i="23"/>
  <c r="I28" i="23"/>
  <c r="H28" i="23"/>
  <c r="G28" i="23"/>
  <c r="F28" i="23"/>
  <c r="E28" i="23"/>
  <c r="K87" i="23" l="1"/>
  <c r="K44" i="23"/>
  <c r="J44" i="23"/>
  <c r="I44" i="23"/>
  <c r="H44" i="23"/>
  <c r="G44" i="23"/>
  <c r="F44" i="23"/>
  <c r="E44" i="23"/>
  <c r="F46" i="23"/>
  <c r="E46" i="23"/>
  <c r="K46" i="23"/>
  <c r="L50" i="23"/>
  <c r="J46" i="23"/>
  <c r="I46" i="23"/>
  <c r="H46" i="23"/>
  <c r="G46" i="23"/>
  <c r="L47" i="23"/>
  <c r="L46" i="23" l="1"/>
  <c r="G82" i="23" l="1"/>
  <c r="L88" i="23"/>
  <c r="F87" i="23"/>
  <c r="L87" i="23" s="1"/>
  <c r="E87" i="23"/>
  <c r="I170" i="24"/>
  <c r="I169" i="24"/>
  <c r="I168" i="24"/>
  <c r="I167" i="24"/>
  <c r="I166" i="24"/>
  <c r="I165" i="24"/>
  <c r="I161" i="24"/>
  <c r="I160" i="24"/>
  <c r="I159" i="24"/>
  <c r="I217" i="24"/>
  <c r="I155" i="24" l="1"/>
  <c r="I154" i="24"/>
  <c r="I153" i="24"/>
  <c r="I152" i="24"/>
  <c r="I151" i="24"/>
  <c r="I150" i="24"/>
  <c r="M217" i="24" l="1"/>
  <c r="M178" i="24"/>
  <c r="M167" i="24"/>
  <c r="M165" i="24"/>
  <c r="M161" i="24"/>
  <c r="M160" i="24"/>
  <c r="M155" i="24"/>
  <c r="M153" i="24"/>
  <c r="M152" i="24"/>
  <c r="M151" i="24"/>
  <c r="M150" i="24"/>
  <c r="M105" i="24"/>
  <c r="M104" i="24"/>
  <c r="M42" i="24"/>
  <c r="M29" i="24"/>
  <c r="M28" i="24"/>
  <c r="M27" i="24"/>
  <c r="I202" i="24" l="1"/>
  <c r="M202" i="24" s="1"/>
  <c r="I201" i="24"/>
  <c r="M201" i="24" s="1"/>
  <c r="I200" i="24"/>
  <c r="M200" i="24" s="1"/>
  <c r="I199" i="24"/>
  <c r="M199" i="24" s="1"/>
  <c r="I198" i="24"/>
  <c r="M198" i="24" s="1"/>
  <c r="I197" i="24"/>
  <c r="M197" i="24" s="1"/>
  <c r="I196" i="24"/>
  <c r="M196" i="24" s="1"/>
  <c r="I133" i="24"/>
  <c r="M133" i="24" s="1"/>
  <c r="I132" i="24"/>
  <c r="M132" i="24" s="1"/>
  <c r="I131" i="24"/>
  <c r="M131" i="24" s="1"/>
  <c r="I130" i="24"/>
  <c r="M130" i="24" s="1"/>
  <c r="I123" i="24"/>
  <c r="M123" i="24" s="1"/>
  <c r="I122" i="24"/>
  <c r="M122" i="24" s="1"/>
  <c r="I121" i="24"/>
  <c r="M121" i="24" s="1"/>
  <c r="I120" i="24"/>
  <c r="M120" i="24" s="1"/>
  <c r="I119" i="24"/>
  <c r="M119" i="24" s="1"/>
  <c r="I117" i="24"/>
  <c r="M117" i="24" s="1"/>
  <c r="I116" i="24"/>
  <c r="M116" i="24" s="1"/>
  <c r="I115" i="24"/>
  <c r="M115" i="24" s="1"/>
  <c r="I114" i="24"/>
  <c r="M114" i="24" s="1"/>
  <c r="I113" i="24"/>
  <c r="M113" i="24" s="1"/>
  <c r="I110" i="24"/>
  <c r="M110" i="24" s="1"/>
  <c r="I109" i="24"/>
  <c r="M109" i="24" s="1"/>
  <c r="I108" i="24"/>
  <c r="G147" i="24"/>
  <c r="M108" i="24" l="1"/>
  <c r="I107" i="24"/>
  <c r="K83" i="23" l="1"/>
  <c r="K85" i="23"/>
  <c r="K82" i="23" s="1"/>
  <c r="K10" i="23"/>
  <c r="H147" i="24"/>
  <c r="I163" i="24"/>
  <c r="M163" i="24" s="1"/>
  <c r="I85" i="24"/>
  <c r="M85" i="24" s="1"/>
  <c r="I75" i="24"/>
  <c r="M75" i="24" s="1"/>
  <c r="I44" i="24"/>
  <c r="M44" i="24" s="1"/>
  <c r="I43" i="24"/>
  <c r="M43" i="24" s="1"/>
  <c r="I39" i="24"/>
  <c r="M39" i="24" s="1"/>
  <c r="I33" i="24"/>
  <c r="M33" i="24" s="1"/>
  <c r="I20" i="24"/>
  <c r="I19" i="24"/>
  <c r="M19" i="24" s="1"/>
  <c r="I16" i="24"/>
  <c r="M16" i="24" s="1"/>
  <c r="I14" i="24"/>
  <c r="M14" i="24" s="1"/>
  <c r="I246" i="24"/>
  <c r="M246" i="24" s="1"/>
  <c r="I245" i="24"/>
  <c r="M245" i="24" s="1"/>
  <c r="I244" i="24"/>
  <c r="M244" i="24" s="1"/>
  <c r="M242" i="24"/>
  <c r="I241" i="24"/>
  <c r="M241" i="24" s="1"/>
  <c r="I239" i="24"/>
  <c r="M239" i="24" s="1"/>
  <c r="I238" i="24"/>
  <c r="M238" i="24" s="1"/>
  <c r="I237" i="24"/>
  <c r="M237" i="24" s="1"/>
  <c r="I236" i="24"/>
  <c r="M236" i="24" s="1"/>
  <c r="I234" i="24"/>
  <c r="I232" i="24"/>
  <c r="I231" i="24"/>
  <c r="I229" i="24"/>
  <c r="M229" i="24" s="1"/>
  <c r="I228" i="24"/>
  <c r="M228" i="24" s="1"/>
  <c r="I227" i="24"/>
  <c r="M227" i="24" s="1"/>
  <c r="I226" i="24"/>
  <c r="M226" i="24" s="1"/>
  <c r="I225" i="24"/>
  <c r="M225" i="24" s="1"/>
  <c r="I223" i="24"/>
  <c r="I220" i="24"/>
  <c r="M220" i="24" s="1"/>
  <c r="I219" i="24"/>
  <c r="I216" i="24"/>
  <c r="I195" i="24"/>
  <c r="M195" i="24" s="1"/>
  <c r="I194" i="24"/>
  <c r="M194" i="24" s="1"/>
  <c r="I193" i="24"/>
  <c r="M193" i="24" s="1"/>
  <c r="I192" i="24"/>
  <c r="M192" i="24" s="1"/>
  <c r="I191" i="24"/>
  <c r="M191" i="24" s="1"/>
  <c r="I190" i="24"/>
  <c r="M190" i="24" s="1"/>
  <c r="I189" i="24"/>
  <c r="M189" i="24" s="1"/>
  <c r="I188" i="24"/>
  <c r="M188" i="24" s="1"/>
  <c r="I187" i="24"/>
  <c r="M187" i="24" s="1"/>
  <c r="I186" i="24"/>
  <c r="M186" i="24" s="1"/>
  <c r="I185" i="24"/>
  <c r="M185" i="24" s="1"/>
  <c r="I184" i="24"/>
  <c r="I182" i="24"/>
  <c r="M182" i="24" s="1"/>
  <c r="I181" i="24"/>
  <c r="M181" i="24" s="1"/>
  <c r="I180" i="24"/>
  <c r="M180" i="24" s="1"/>
  <c r="I179" i="24"/>
  <c r="M179" i="24" s="1"/>
  <c r="I177" i="24"/>
  <c r="M177" i="24" s="1"/>
  <c r="I176" i="24"/>
  <c r="M176" i="24" s="1"/>
  <c r="I175" i="24"/>
  <c r="M175" i="24" s="1"/>
  <c r="I174" i="24"/>
  <c r="M174" i="24" s="1"/>
  <c r="I172" i="24"/>
  <c r="M172" i="24" s="1"/>
  <c r="I171" i="24"/>
  <c r="M171" i="24" s="1"/>
  <c r="M170" i="24"/>
  <c r="M169" i="24"/>
  <c r="M168" i="24"/>
  <c r="M166" i="24"/>
  <c r="I164" i="24"/>
  <c r="M164" i="24" s="1"/>
  <c r="M159" i="24"/>
  <c r="I158" i="24"/>
  <c r="M158" i="24" s="1"/>
  <c r="I157" i="24"/>
  <c r="M157" i="24" s="1"/>
  <c r="M154" i="24"/>
  <c r="I149" i="24"/>
  <c r="M149" i="24" s="1"/>
  <c r="I148" i="24"/>
  <c r="M148" i="24" s="1"/>
  <c r="I146" i="24"/>
  <c r="M146" i="24" s="1"/>
  <c r="I145" i="24"/>
  <c r="M145" i="24" s="1"/>
  <c r="I144" i="24"/>
  <c r="M144" i="24" s="1"/>
  <c r="I143" i="24"/>
  <c r="M143" i="24" s="1"/>
  <c r="I142" i="24"/>
  <c r="M142" i="24" s="1"/>
  <c r="I141" i="24"/>
  <c r="M141" i="24" s="1"/>
  <c r="I134" i="24"/>
  <c r="M134" i="24" s="1"/>
  <c r="I111" i="24"/>
  <c r="M111" i="24" s="1"/>
  <c r="I103" i="24"/>
  <c r="M103" i="24" s="1"/>
  <c r="I102" i="24"/>
  <c r="M102" i="24" s="1"/>
  <c r="I101" i="24"/>
  <c r="M101" i="24" s="1"/>
  <c r="I100" i="24"/>
  <c r="M100" i="24" s="1"/>
  <c r="I99" i="24"/>
  <c r="M99" i="24" s="1"/>
  <c r="I98" i="24"/>
  <c r="M98" i="24" s="1"/>
  <c r="I97" i="24"/>
  <c r="I95" i="24"/>
  <c r="M95" i="24" s="1"/>
  <c r="I94" i="24"/>
  <c r="M94" i="24" s="1"/>
  <c r="I93" i="24"/>
  <c r="M93" i="24" s="1"/>
  <c r="I92" i="24"/>
  <c r="M92" i="24" s="1"/>
  <c r="I91" i="24"/>
  <c r="M91" i="24" s="1"/>
  <c r="I90" i="24"/>
  <c r="M90" i="24" s="1"/>
  <c r="I88" i="24"/>
  <c r="M88" i="24" s="1"/>
  <c r="I87" i="24"/>
  <c r="M87" i="24" s="1"/>
  <c r="I84" i="24"/>
  <c r="M84" i="24" s="1"/>
  <c r="I83" i="24"/>
  <c r="M83" i="24" s="1"/>
  <c r="I82" i="24"/>
  <c r="M82" i="24" s="1"/>
  <c r="I81" i="24"/>
  <c r="M81" i="24" s="1"/>
  <c r="I80" i="24"/>
  <c r="M80" i="24" s="1"/>
  <c r="I78" i="24"/>
  <c r="M78" i="24" s="1"/>
  <c r="I77" i="24"/>
  <c r="M77" i="24" s="1"/>
  <c r="I76" i="24"/>
  <c r="M76" i="24" s="1"/>
  <c r="I73" i="24"/>
  <c r="M73" i="24" s="1"/>
  <c r="I72" i="24"/>
  <c r="M72" i="24" s="1"/>
  <c r="I71" i="24"/>
  <c r="M71" i="24" s="1"/>
  <c r="I56" i="24"/>
  <c r="M56" i="24" s="1"/>
  <c r="I55" i="24"/>
  <c r="M55" i="24" s="1"/>
  <c r="I53" i="24"/>
  <c r="M53" i="24" s="1"/>
  <c r="I52" i="24"/>
  <c r="M52" i="24" s="1"/>
  <c r="I51" i="24"/>
  <c r="M51" i="24" s="1"/>
  <c r="I50" i="24"/>
  <c r="M50" i="24" s="1"/>
  <c r="I49" i="24"/>
  <c r="M49" i="24" s="1"/>
  <c r="I48" i="24"/>
  <c r="M48" i="24" s="1"/>
  <c r="I47" i="24"/>
  <c r="M47" i="24" s="1"/>
  <c r="I46" i="24"/>
  <c r="M46" i="24" s="1"/>
  <c r="I40" i="24"/>
  <c r="M40" i="24" s="1"/>
  <c r="I36" i="24"/>
  <c r="M36" i="24" s="1"/>
  <c r="I35" i="24"/>
  <c r="M35" i="24" s="1"/>
  <c r="I34" i="24"/>
  <c r="M34" i="24" s="1"/>
  <c r="I32" i="24"/>
  <c r="M32" i="24" s="1"/>
  <c r="I31" i="24"/>
  <c r="M31" i="24" s="1"/>
  <c r="I26" i="24"/>
  <c r="I25" i="24"/>
  <c r="M25" i="24" s="1"/>
  <c r="I24" i="24"/>
  <c r="M24" i="24" s="1"/>
  <c r="I23" i="24"/>
  <c r="M23" i="24" s="1"/>
  <c r="I22" i="24"/>
  <c r="M22" i="24" s="1"/>
  <c r="I17" i="24"/>
  <c r="M17" i="24" s="1"/>
  <c r="I13" i="24"/>
  <c r="M13" i="24" s="1"/>
  <c r="I12" i="24"/>
  <c r="M12" i="24" s="1"/>
  <c r="M184" i="24" l="1"/>
  <c r="I183" i="24"/>
  <c r="M231" i="24"/>
  <c r="I230" i="24"/>
  <c r="M97" i="24"/>
  <c r="I96" i="24"/>
  <c r="I218" i="24"/>
  <c r="I215" i="24" s="1"/>
  <c r="M219" i="24"/>
  <c r="M232" i="24"/>
  <c r="I222" i="24"/>
  <c r="M223" i="24"/>
  <c r="I233" i="24"/>
  <c r="M234" i="24"/>
  <c r="M20" i="24"/>
  <c r="I156" i="24"/>
  <c r="I70" i="24"/>
  <c r="I235" i="24"/>
  <c r="I140" i="24"/>
  <c r="I173" i="24"/>
  <c r="I86" i="24"/>
  <c r="I118" i="24"/>
  <c r="I79" i="24"/>
  <c r="I54" i="24"/>
  <c r="I30" i="24"/>
  <c r="I18" i="24"/>
  <c r="I15" i="24" s="1"/>
  <c r="I41" i="24"/>
  <c r="M41" i="24" s="1"/>
  <c r="I21" i="24"/>
  <c r="I45" i="24"/>
  <c r="I11" i="24"/>
  <c r="I74" i="24"/>
  <c r="I89" i="24"/>
  <c r="I112" i="24"/>
  <c r="I129" i="24"/>
  <c r="I147" i="24"/>
  <c r="M147" i="24" s="1"/>
  <c r="I162" i="24"/>
  <c r="I224" i="24"/>
  <c r="I106" i="24" l="1"/>
  <c r="I38" i="24"/>
  <c r="I37" i="24" s="1"/>
  <c r="M18" i="24"/>
  <c r="L77" i="23" l="1"/>
  <c r="L76" i="23"/>
  <c r="L75" i="23"/>
  <c r="L73" i="23"/>
  <c r="L72" i="23"/>
  <c r="L71" i="23"/>
  <c r="L70" i="23"/>
  <c r="L68" i="23"/>
  <c r="L67" i="23"/>
  <c r="L66" i="23"/>
  <c r="L65" i="23"/>
  <c r="L62" i="23"/>
  <c r="L60" i="23"/>
  <c r="L59" i="23"/>
  <c r="L55" i="23"/>
  <c r="L53" i="23"/>
  <c r="L49" i="23"/>
  <c r="L48" i="23"/>
  <c r="L43" i="23"/>
  <c r="L24" i="23"/>
  <c r="L20" i="23"/>
  <c r="J29" i="24"/>
  <c r="J28" i="24"/>
  <c r="J27" i="24"/>
  <c r="J178" i="24"/>
  <c r="J109" i="24"/>
  <c r="J105" i="24"/>
  <c r="J104" i="24"/>
  <c r="J42" i="24"/>
  <c r="K95" i="23"/>
  <c r="L95" i="23" s="1"/>
  <c r="K93" i="23"/>
  <c r="L93" i="23" s="1"/>
  <c r="K91" i="23"/>
  <c r="L91" i="23" s="1"/>
  <c r="L86" i="23"/>
  <c r="L84" i="23"/>
  <c r="L81" i="23"/>
  <c r="L79" i="23"/>
  <c r="K78" i="23"/>
  <c r="L78" i="23" s="1"/>
  <c r="K74" i="23"/>
  <c r="L74" i="23" s="1"/>
  <c r="K58" i="23"/>
  <c r="L58" i="23" s="1"/>
  <c r="K56" i="23"/>
  <c r="L54" i="23"/>
  <c r="L51" i="23"/>
  <c r="L45" i="23"/>
  <c r="L44" i="23" s="1"/>
  <c r="K41" i="23"/>
  <c r="L41" i="23" s="1"/>
  <c r="K40" i="23"/>
  <c r="L40" i="23" s="1"/>
  <c r="K39" i="23"/>
  <c r="L39" i="23" s="1"/>
  <c r="K38" i="23"/>
  <c r="L38" i="23" s="1"/>
  <c r="K37" i="23"/>
  <c r="L37" i="23" s="1"/>
  <c r="K36" i="23"/>
  <c r="L36" i="23" s="1"/>
  <c r="K35" i="23"/>
  <c r="L35" i="23" s="1"/>
  <c r="K34" i="23"/>
  <c r="L34" i="23" s="1"/>
  <c r="K31" i="23"/>
  <c r="L31" i="23" s="1"/>
  <c r="K30" i="23"/>
  <c r="L30" i="23" s="1"/>
  <c r="K29" i="23"/>
  <c r="K28" i="23" s="1"/>
  <c r="K27" i="23"/>
  <c r="L27" i="23" s="1"/>
  <c r="K25" i="23"/>
  <c r="K17" i="23"/>
  <c r="L17" i="23" s="1"/>
  <c r="K16" i="23"/>
  <c r="L16" i="23" s="1"/>
  <c r="K15" i="23"/>
  <c r="L15" i="23" s="1"/>
  <c r="K14" i="23"/>
  <c r="L14" i="23" s="1"/>
  <c r="L11" i="23"/>
  <c r="L10" i="23" s="1"/>
  <c r="H94" i="23"/>
  <c r="K94" i="23" s="1"/>
  <c r="H92" i="23"/>
  <c r="H90" i="23"/>
  <c r="H85" i="23"/>
  <c r="H83" i="23"/>
  <c r="H82" i="23" s="1"/>
  <c r="H80" i="23"/>
  <c r="H64" i="23"/>
  <c r="H63" i="23" s="1"/>
  <c r="H52" i="23"/>
  <c r="H42" i="23"/>
  <c r="H26" i="23"/>
  <c r="K26" i="23" s="1"/>
  <c r="H23" i="23"/>
  <c r="H21" i="23"/>
  <c r="H19" i="23"/>
  <c r="H13" i="23"/>
  <c r="H10" i="23"/>
  <c r="H33" i="23" l="1"/>
  <c r="L25" i="23"/>
  <c r="K23" i="23"/>
  <c r="L56" i="23"/>
  <c r="K52" i="23"/>
  <c r="L29" i="23"/>
  <c r="L28" i="23" s="1"/>
  <c r="L69" i="23"/>
  <c r="K64" i="23"/>
  <c r="K63" i="23" s="1"/>
  <c r="H18" i="23"/>
  <c r="H89" i="23"/>
  <c r="K90" i="23"/>
  <c r="H96" i="23" l="1"/>
  <c r="K47" i="24"/>
  <c r="K41" i="24"/>
  <c r="K88" i="24"/>
  <c r="K201" i="24"/>
  <c r="K197" i="24"/>
  <c r="K120" i="24"/>
  <c r="K184" i="24" l="1"/>
  <c r="K74" i="24"/>
  <c r="K70" i="24"/>
  <c r="K243" i="24"/>
  <c r="K240" i="24"/>
  <c r="K235" i="24"/>
  <c r="K230" i="24"/>
  <c r="K224" i="24"/>
  <c r="K222" i="24"/>
  <c r="K218" i="24"/>
  <c r="K216" i="24"/>
  <c r="K215" i="24" s="1"/>
  <c r="K183" i="24"/>
  <c r="K173" i="24"/>
  <c r="K162" i="24"/>
  <c r="K156" i="24"/>
  <c r="K147" i="24"/>
  <c r="K140" i="24"/>
  <c r="K129" i="24"/>
  <c r="K118" i="24"/>
  <c r="K112" i="24"/>
  <c r="K107" i="24"/>
  <c r="K96" i="24"/>
  <c r="K89" i="24"/>
  <c r="K86" i="24"/>
  <c r="K79" i="24"/>
  <c r="K54" i="24"/>
  <c r="K45" i="24"/>
  <c r="K38" i="24"/>
  <c r="K30" i="24"/>
  <c r="K26" i="24"/>
  <c r="J26" i="24" s="1"/>
  <c r="K21" i="24"/>
  <c r="K15" i="24"/>
  <c r="K11" i="24"/>
  <c r="K10" i="24" l="1"/>
  <c r="K221" i="24"/>
  <c r="K106" i="24"/>
  <c r="K37" i="24"/>
  <c r="K247" i="24" l="1"/>
  <c r="I64" i="23"/>
  <c r="I80" i="23"/>
  <c r="K80" i="23" s="1"/>
  <c r="F80" i="23"/>
  <c r="E80" i="23"/>
  <c r="L80" i="23" l="1"/>
  <c r="K252" i="24"/>
  <c r="G107" i="24" l="1"/>
  <c r="M107" i="24" s="1"/>
  <c r="O109" i="24"/>
  <c r="N109" i="24"/>
  <c r="F28" i="24"/>
  <c r="G64" i="23" l="1"/>
  <c r="F64" i="23"/>
  <c r="L64" i="23" s="1"/>
  <c r="E64" i="23"/>
  <c r="H79" i="24" l="1"/>
  <c r="G79" i="24"/>
  <c r="M79" i="24" s="1"/>
  <c r="F194" i="24"/>
  <c r="J194" i="24"/>
  <c r="O35" i="24" l="1"/>
  <c r="J35" i="24"/>
  <c r="N194" i="24"/>
  <c r="J64" i="23"/>
  <c r="E63" i="23"/>
  <c r="F52" i="23"/>
  <c r="E52" i="23"/>
  <c r="L57" i="23" l="1"/>
  <c r="D10" i="9" l="1"/>
  <c r="D24" i="9"/>
  <c r="D22" i="9" s="1"/>
  <c r="G74" i="24"/>
  <c r="M74" i="24" s="1"/>
  <c r="H70" i="24"/>
  <c r="G86" i="24"/>
  <c r="M86" i="24" s="1"/>
  <c r="L86" i="24"/>
  <c r="D8" i="9" l="1"/>
  <c r="I63" i="23" l="1"/>
  <c r="G63" i="23"/>
  <c r="N73" i="23"/>
  <c r="F63" i="23"/>
  <c r="L63" i="23" s="1"/>
  <c r="N70" i="23"/>
  <c r="N69" i="23"/>
  <c r="L74" i="24" l="1"/>
  <c r="H74" i="24"/>
  <c r="E74" i="24"/>
  <c r="G235" i="24"/>
  <c r="M235" i="24" s="1"/>
  <c r="J78" i="24"/>
  <c r="F78" i="24"/>
  <c r="E79" i="24"/>
  <c r="N78" i="24" l="1"/>
  <c r="O78" i="24"/>
  <c r="F19" i="9"/>
  <c r="F16" i="9"/>
  <c r="F14" i="9"/>
  <c r="G224" i="24" l="1"/>
  <c r="M224" i="24" s="1"/>
  <c r="D224" i="24"/>
  <c r="G218" i="24"/>
  <c r="M218" i="24" s="1"/>
  <c r="G173" i="24"/>
  <c r="M173" i="24" s="1"/>
  <c r="M96" i="24" l="1"/>
  <c r="G38" i="24"/>
  <c r="M38" i="24" s="1"/>
  <c r="F29" i="24"/>
  <c r="F27" i="24"/>
  <c r="F35" i="24"/>
  <c r="N35" i="24" s="1"/>
  <c r="E42" i="23" l="1"/>
  <c r="E33" i="23" s="1"/>
  <c r="E23" i="23"/>
  <c r="E94" i="23"/>
  <c r="E13" i="23"/>
  <c r="E10" i="23"/>
  <c r="E9" i="23" l="1"/>
  <c r="F26" i="24"/>
  <c r="J52" i="23" l="1"/>
  <c r="I52" i="23"/>
  <c r="L52" i="23" s="1"/>
  <c r="G52" i="23"/>
  <c r="J13" i="23"/>
  <c r="I13" i="23"/>
  <c r="K13" i="23" s="1"/>
  <c r="G13" i="23"/>
  <c r="F13" i="23"/>
  <c r="C13" i="23"/>
  <c r="F94" i="23"/>
  <c r="L94" i="23" s="1"/>
  <c r="C94" i="23"/>
  <c r="C57" i="23"/>
  <c r="J42" i="23"/>
  <c r="I42" i="23"/>
  <c r="I33" i="23" s="1"/>
  <c r="G42" i="23"/>
  <c r="F42" i="23"/>
  <c r="F33" i="23" s="1"/>
  <c r="C42" i="23"/>
  <c r="G243" i="24"/>
  <c r="N26" i="24"/>
  <c r="L26" i="24"/>
  <c r="H26" i="24"/>
  <c r="G26" i="24"/>
  <c r="M26" i="24" s="1"/>
  <c r="E26" i="24"/>
  <c r="D26" i="24"/>
  <c r="J33" i="23" l="1"/>
  <c r="G33" i="23"/>
  <c r="L13" i="23"/>
  <c r="L42" i="23"/>
  <c r="L33" i="23" s="1"/>
  <c r="J92" i="23" l="1"/>
  <c r="I92" i="23"/>
  <c r="G92" i="23"/>
  <c r="G89" i="23" s="1"/>
  <c r="F92" i="23"/>
  <c r="I89" i="23" l="1"/>
  <c r="K89" i="23" s="1"/>
  <c r="K92" i="23"/>
  <c r="L92" i="23" s="1"/>
  <c r="G222" i="24"/>
  <c r="M222" i="24" s="1"/>
  <c r="G233" i="24"/>
  <c r="M233" i="24" s="1"/>
  <c r="G230" i="24"/>
  <c r="M230" i="24" s="1"/>
  <c r="G216" i="24"/>
  <c r="G183" i="24"/>
  <c r="M183" i="24" s="1"/>
  <c r="G140" i="24"/>
  <c r="M140" i="24" s="1"/>
  <c r="G129" i="24"/>
  <c r="M129" i="24" s="1"/>
  <c r="G118" i="24"/>
  <c r="M118" i="24" s="1"/>
  <c r="G112" i="24"/>
  <c r="M112" i="24" s="1"/>
  <c r="G45" i="24"/>
  <c r="M45" i="24" s="1"/>
  <c r="G162" i="24"/>
  <c r="M162" i="24" s="1"/>
  <c r="H162" i="24"/>
  <c r="G156" i="24"/>
  <c r="M156" i="24" s="1"/>
  <c r="H156" i="24"/>
  <c r="H129" i="24"/>
  <c r="H118" i="24"/>
  <c r="H112" i="24"/>
  <c r="G89" i="24"/>
  <c r="M89" i="24" s="1"/>
  <c r="H89" i="24"/>
  <c r="G70" i="24"/>
  <c r="M70" i="24" s="1"/>
  <c r="G54" i="24"/>
  <c r="M54" i="24" s="1"/>
  <c r="G30" i="24"/>
  <c r="M30" i="24" s="1"/>
  <c r="G21" i="24"/>
  <c r="M21" i="24" s="1"/>
  <c r="G15" i="24"/>
  <c r="M15" i="24" s="1"/>
  <c r="G11" i="24"/>
  <c r="J88" i="24"/>
  <c r="G215" i="24" l="1"/>
  <c r="M215" i="24" s="1"/>
  <c r="M216" i="24"/>
  <c r="G106" i="24"/>
  <c r="M106" i="24" s="1"/>
  <c r="G37" i="24"/>
  <c r="M37" i="24" s="1"/>
  <c r="G10" i="24"/>
  <c r="G221" i="24"/>
  <c r="G247" i="24" l="1"/>
  <c r="L235" i="24" l="1"/>
  <c r="L240" i="24"/>
  <c r="J31" i="24"/>
  <c r="O20" i="24" l="1"/>
  <c r="J20" i="24"/>
  <c r="L156" i="24" l="1"/>
  <c r="E224" i="24"/>
  <c r="J226" i="24"/>
  <c r="F226" i="24"/>
  <c r="N226" i="24" l="1"/>
  <c r="J176" i="24"/>
  <c r="F176" i="24"/>
  <c r="N176" i="24" l="1"/>
  <c r="J202" i="24" l="1"/>
  <c r="J200" i="24"/>
  <c r="J199" i="24"/>
  <c r="J198" i="24"/>
  <c r="J197" i="24"/>
  <c r="J196" i="24"/>
  <c r="J195" i="24"/>
  <c r="J193" i="24"/>
  <c r="J192" i="24"/>
  <c r="J190" i="24"/>
  <c r="J189" i="24"/>
  <c r="J188" i="24"/>
  <c r="J187" i="24"/>
  <c r="J186" i="24"/>
  <c r="J185" i="24"/>
  <c r="J182" i="24"/>
  <c r="J181" i="24"/>
  <c r="J180" i="24"/>
  <c r="J179" i="24"/>
  <c r="J177" i="24"/>
  <c r="J175" i="24"/>
  <c r="J174" i="24"/>
  <c r="J172" i="24"/>
  <c r="J171" i="24"/>
  <c r="J170" i="24"/>
  <c r="J169" i="24"/>
  <c r="J168" i="24"/>
  <c r="J167" i="24"/>
  <c r="J166" i="24"/>
  <c r="J165" i="24"/>
  <c r="J164" i="24"/>
  <c r="J163" i="24"/>
  <c r="J161" i="24"/>
  <c r="J160" i="24"/>
  <c r="J159" i="24"/>
  <c r="J158" i="24"/>
  <c r="J157" i="24"/>
  <c r="O201" i="24" l="1"/>
  <c r="J201" i="24"/>
  <c r="J162" i="24"/>
  <c r="J173" i="24"/>
  <c r="F179" i="24" l="1"/>
  <c r="N179" i="24" s="1"/>
  <c r="F175" i="24" l="1"/>
  <c r="N175" i="24" s="1"/>
  <c r="F85" i="23" l="1"/>
  <c r="F82" i="23" s="1"/>
  <c r="C85" i="23"/>
  <c r="E218" i="24"/>
  <c r="O85" i="24" l="1"/>
  <c r="J85" i="24"/>
  <c r="F149" i="24"/>
  <c r="J155" i="24" l="1"/>
  <c r="J154" i="24"/>
  <c r="J153" i="24"/>
  <c r="J152" i="24"/>
  <c r="C64" i="23" l="1"/>
  <c r="C63" i="23" s="1"/>
  <c r="I85" i="23"/>
  <c r="L85" i="23" s="1"/>
  <c r="I83" i="23"/>
  <c r="I82" i="23" l="1"/>
  <c r="E30" i="24" l="1"/>
  <c r="E86" i="24"/>
  <c r="E92" i="23" l="1"/>
  <c r="E90" i="23"/>
  <c r="E85" i="23"/>
  <c r="E82" i="23" s="1"/>
  <c r="E83" i="23"/>
  <c r="E37" i="23"/>
  <c r="E34" i="23"/>
  <c r="E26" i="23"/>
  <c r="E21" i="23"/>
  <c r="E19" i="23"/>
  <c r="E18" i="23" s="1"/>
  <c r="C92" i="23"/>
  <c r="E89" i="23" l="1"/>
  <c r="J216" i="24" l="1"/>
  <c r="J217" i="24"/>
  <c r="E96" i="23"/>
  <c r="D147" i="24" l="1"/>
  <c r="J25" i="24"/>
  <c r="J24" i="24"/>
  <c r="J23" i="24"/>
  <c r="J22" i="24"/>
  <c r="J36" i="24"/>
  <c r="J41" i="24"/>
  <c r="J50" i="24"/>
  <c r="J56" i="24"/>
  <c r="J55" i="24"/>
  <c r="J71" i="24"/>
  <c r="J75" i="24"/>
  <c r="J98" i="24"/>
  <c r="J108" i="24"/>
  <c r="J114" i="24"/>
  <c r="J122" i="24"/>
  <c r="J121" i="24"/>
  <c r="J120" i="24"/>
  <c r="J146" i="24"/>
  <c r="J145" i="24"/>
  <c r="J144" i="24"/>
  <c r="J143" i="24"/>
  <c r="J142" i="24"/>
  <c r="J141" i="24"/>
  <c r="J151" i="24"/>
  <c r="J150" i="24"/>
  <c r="J149" i="24"/>
  <c r="I203" i="24"/>
  <c r="L243" i="24" l="1"/>
  <c r="H235" i="24"/>
  <c r="H240" i="24"/>
  <c r="I240" i="24" s="1"/>
  <c r="F83" i="23"/>
  <c r="F90" i="23"/>
  <c r="F26" i="23"/>
  <c r="L26" i="23" s="1"/>
  <c r="F23" i="23"/>
  <c r="F21" i="23"/>
  <c r="F19" i="23"/>
  <c r="F10" i="23"/>
  <c r="F9" i="23" s="1"/>
  <c r="L83" i="23" l="1"/>
  <c r="M240" i="24"/>
  <c r="I221" i="24"/>
  <c r="F89" i="23"/>
  <c r="L89" i="23" s="1"/>
  <c r="L90" i="23"/>
  <c r="L82" i="23"/>
  <c r="F18" i="23"/>
  <c r="M221" i="24" l="1"/>
  <c r="F96" i="23"/>
  <c r="M75" i="23" l="1"/>
  <c r="N75" i="23"/>
  <c r="G19" i="23" l="1"/>
  <c r="G21" i="23"/>
  <c r="I23" i="23"/>
  <c r="L23" i="23" s="1"/>
  <c r="N55" i="23"/>
  <c r="O50" i="24"/>
  <c r="F53" i="24"/>
  <c r="E216" i="24"/>
  <c r="E215" i="24" s="1"/>
  <c r="M86" i="23"/>
  <c r="N71" i="23"/>
  <c r="M72" i="23"/>
  <c r="N72" i="23"/>
  <c r="M76" i="23"/>
  <c r="N76" i="23"/>
  <c r="M77" i="23"/>
  <c r="N77" i="23"/>
  <c r="M84" i="23"/>
  <c r="N84" i="23"/>
  <c r="M91" i="23"/>
  <c r="M90" i="23" s="1"/>
  <c r="M89" i="23" s="1"/>
  <c r="C24" i="9"/>
  <c r="C22" i="9" s="1"/>
  <c r="E24" i="9"/>
  <c r="E22" i="9" s="1"/>
  <c r="H14" i="9"/>
  <c r="G14" i="9"/>
  <c r="E10" i="9"/>
  <c r="C10" i="9"/>
  <c r="J123" i="24"/>
  <c r="O121" i="24"/>
  <c r="J113" i="24"/>
  <c r="J40" i="24"/>
  <c r="J39" i="24"/>
  <c r="L96" i="24"/>
  <c r="H96" i="24"/>
  <c r="E96" i="24"/>
  <c r="O170" i="24"/>
  <c r="O167" i="24"/>
  <c r="O154" i="24"/>
  <c r="F31" i="24"/>
  <c r="F34" i="24"/>
  <c r="F39" i="24"/>
  <c r="F40" i="24"/>
  <c r="F41" i="24"/>
  <c r="N41" i="24" s="1"/>
  <c r="F42" i="24"/>
  <c r="F43" i="24"/>
  <c r="F44" i="24"/>
  <c r="J34" i="23"/>
  <c r="J46" i="24"/>
  <c r="F114" i="24"/>
  <c r="N114" i="24" s="1"/>
  <c r="F113" i="24"/>
  <c r="F108" i="24"/>
  <c r="N108" i="24" s="1"/>
  <c r="H45" i="24"/>
  <c r="N29" i="23"/>
  <c r="N25" i="23"/>
  <c r="N24" i="23"/>
  <c r="N11" i="23"/>
  <c r="J90" i="23"/>
  <c r="J89" i="23" s="1"/>
  <c r="D90" i="23"/>
  <c r="D89" i="23" s="1"/>
  <c r="C90" i="23"/>
  <c r="C89" i="23" s="1"/>
  <c r="J85" i="23"/>
  <c r="D85" i="23"/>
  <c r="J83" i="23"/>
  <c r="D83" i="23"/>
  <c r="C83" i="23"/>
  <c r="C82" i="23" s="1"/>
  <c r="J63" i="23"/>
  <c r="D64" i="23"/>
  <c r="D63" i="23" s="1"/>
  <c r="D57" i="23"/>
  <c r="N56" i="23"/>
  <c r="M53" i="23"/>
  <c r="D52" i="23"/>
  <c r="C52" i="23"/>
  <c r="D44" i="23"/>
  <c r="C44" i="23"/>
  <c r="J37" i="23"/>
  <c r="D37" i="23"/>
  <c r="C37" i="23"/>
  <c r="N37" i="23"/>
  <c r="D34" i="23"/>
  <c r="C34" i="23"/>
  <c r="D28" i="23"/>
  <c r="C28" i="23"/>
  <c r="J26" i="23"/>
  <c r="D26" i="23"/>
  <c r="C26" i="23"/>
  <c r="J23" i="23"/>
  <c r="D23" i="23"/>
  <c r="C23" i="23"/>
  <c r="J21" i="23"/>
  <c r="D21" i="23"/>
  <c r="C21" i="23"/>
  <c r="J19" i="23"/>
  <c r="D19" i="23"/>
  <c r="C19" i="23"/>
  <c r="J12" i="23"/>
  <c r="G12" i="23"/>
  <c r="D12" i="23"/>
  <c r="M11" i="23"/>
  <c r="J10" i="23"/>
  <c r="I10" i="23"/>
  <c r="G10" i="23"/>
  <c r="D10" i="23"/>
  <c r="C10" i="23"/>
  <c r="C9" i="23" s="1"/>
  <c r="J99" i="24"/>
  <c r="O160" i="24"/>
  <c r="O150" i="24"/>
  <c r="O144" i="24"/>
  <c r="O142" i="24"/>
  <c r="J132" i="24"/>
  <c r="J131" i="24"/>
  <c r="J115" i="24"/>
  <c r="D11" i="24"/>
  <c r="E11" i="24"/>
  <c r="H11" i="24"/>
  <c r="L11" i="24"/>
  <c r="F12" i="24"/>
  <c r="J12" i="24"/>
  <c r="F13" i="24"/>
  <c r="J13" i="24"/>
  <c r="J14" i="24"/>
  <c r="D15" i="24"/>
  <c r="E15" i="24"/>
  <c r="H15" i="24"/>
  <c r="L15" i="24"/>
  <c r="F16" i="24"/>
  <c r="F17" i="24"/>
  <c r="J17" i="24"/>
  <c r="F18" i="24"/>
  <c r="F19" i="24"/>
  <c r="F20" i="24"/>
  <c r="D21" i="24"/>
  <c r="E21" i="24"/>
  <c r="H21" i="24"/>
  <c r="L21" i="24"/>
  <c r="F22" i="24"/>
  <c r="N22" i="24" s="1"/>
  <c r="F23" i="24"/>
  <c r="N23" i="24" s="1"/>
  <c r="F24" i="24"/>
  <c r="F25" i="24"/>
  <c r="D30" i="24"/>
  <c r="H30" i="24"/>
  <c r="L30" i="24"/>
  <c r="O31" i="24"/>
  <c r="F32" i="24"/>
  <c r="J32" i="24"/>
  <c r="F33" i="24"/>
  <c r="J34" i="24"/>
  <c r="F36" i="24"/>
  <c r="N36" i="24" s="1"/>
  <c r="D38" i="24"/>
  <c r="E38" i="24"/>
  <c r="H38" i="24"/>
  <c r="L38" i="24"/>
  <c r="J43" i="24"/>
  <c r="J44" i="24"/>
  <c r="D45" i="24"/>
  <c r="E45" i="24"/>
  <c r="L45" i="24"/>
  <c r="F46" i="24"/>
  <c r="F47" i="24"/>
  <c r="J47" i="24"/>
  <c r="F48" i="24"/>
  <c r="J48" i="24"/>
  <c r="F49" i="24"/>
  <c r="F50" i="24"/>
  <c r="F51" i="24"/>
  <c r="F52" i="24"/>
  <c r="J52" i="24"/>
  <c r="D54" i="24"/>
  <c r="E54" i="24"/>
  <c r="H54" i="24"/>
  <c r="L54" i="24"/>
  <c r="F55" i="24"/>
  <c r="N55" i="24" s="1"/>
  <c r="F56" i="24"/>
  <c r="N56" i="24" s="1"/>
  <c r="O56" i="24"/>
  <c r="F57" i="24"/>
  <c r="I57" i="24"/>
  <c r="M57" i="24" s="1"/>
  <c r="D70" i="24"/>
  <c r="E70" i="24"/>
  <c r="L70" i="24"/>
  <c r="F71" i="24"/>
  <c r="N71" i="24" s="1"/>
  <c r="F72" i="24"/>
  <c r="J72" i="24"/>
  <c r="F73" i="24"/>
  <c r="D74" i="24"/>
  <c r="F75" i="24"/>
  <c r="N75" i="24" s="1"/>
  <c r="O75" i="24"/>
  <c r="F76" i="24"/>
  <c r="J76" i="24"/>
  <c r="F77" i="24"/>
  <c r="J77" i="24"/>
  <c r="D79" i="24"/>
  <c r="L79" i="24"/>
  <c r="F80" i="24"/>
  <c r="J80" i="24"/>
  <c r="F81" i="24"/>
  <c r="F82" i="24"/>
  <c r="J82" i="24"/>
  <c r="F83" i="24"/>
  <c r="J83" i="24"/>
  <c r="F84" i="24"/>
  <c r="F85" i="24"/>
  <c r="D86" i="24"/>
  <c r="F86" i="24" s="1"/>
  <c r="H86" i="24"/>
  <c r="F87" i="24"/>
  <c r="J87" i="24"/>
  <c r="F88" i="24"/>
  <c r="O88" i="24"/>
  <c r="D89" i="24"/>
  <c r="E89" i="24"/>
  <c r="L89" i="24"/>
  <c r="F90" i="24"/>
  <c r="J90" i="24"/>
  <c r="F91" i="24"/>
  <c r="F92" i="24"/>
  <c r="F93" i="24"/>
  <c r="J93" i="24"/>
  <c r="F94" i="24"/>
  <c r="J94" i="24"/>
  <c r="F95" i="24"/>
  <c r="F97" i="24"/>
  <c r="F98" i="24"/>
  <c r="F99" i="24"/>
  <c r="F100" i="24"/>
  <c r="F101" i="24"/>
  <c r="F102" i="24"/>
  <c r="F103" i="24"/>
  <c r="D107" i="24"/>
  <c r="E107" i="24"/>
  <c r="L107" i="24"/>
  <c r="O108" i="24"/>
  <c r="F110" i="24"/>
  <c r="F111" i="24"/>
  <c r="J111" i="24"/>
  <c r="D112" i="24"/>
  <c r="E112" i="24"/>
  <c r="L112" i="24"/>
  <c r="O114" i="24"/>
  <c r="F115" i="24"/>
  <c r="F116" i="24"/>
  <c r="J116" i="24"/>
  <c r="F117" i="24"/>
  <c r="D118" i="24"/>
  <c r="E118" i="24"/>
  <c r="L118" i="24"/>
  <c r="F119" i="24"/>
  <c r="J119" i="24"/>
  <c r="F120" i="24"/>
  <c r="F121" i="24"/>
  <c r="F122" i="24"/>
  <c r="O122" i="24"/>
  <c r="F123" i="24"/>
  <c r="D129" i="24"/>
  <c r="E129" i="24"/>
  <c r="L129" i="24"/>
  <c r="F130" i="24"/>
  <c r="F131" i="24"/>
  <c r="F132" i="24"/>
  <c r="F133" i="24"/>
  <c r="D140" i="24"/>
  <c r="E140" i="24"/>
  <c r="H140" i="24"/>
  <c r="L140" i="24"/>
  <c r="F141" i="24"/>
  <c r="O141" i="24"/>
  <c r="F142" i="24"/>
  <c r="F143" i="24"/>
  <c r="F144" i="24"/>
  <c r="F145" i="24"/>
  <c r="N145" i="24" s="1"/>
  <c r="F146" i="24"/>
  <c r="N146" i="24" s="1"/>
  <c r="E147" i="24"/>
  <c r="L147" i="24"/>
  <c r="F148" i="24"/>
  <c r="J148" i="24"/>
  <c r="F150" i="24"/>
  <c r="N150" i="24" s="1"/>
  <c r="F151" i="24"/>
  <c r="F152" i="24"/>
  <c r="N152" i="24" s="1"/>
  <c r="F153" i="24"/>
  <c r="N153" i="24" s="1"/>
  <c r="F154" i="24"/>
  <c r="N154" i="24" s="1"/>
  <c r="F155" i="24"/>
  <c r="N155" i="24" s="1"/>
  <c r="O155" i="24"/>
  <c r="D156" i="24"/>
  <c r="E156" i="24"/>
  <c r="J156" i="24"/>
  <c r="F157" i="24"/>
  <c r="F158" i="24"/>
  <c r="O158" i="24"/>
  <c r="F159" i="24"/>
  <c r="F160" i="24"/>
  <c r="N160" i="24" s="1"/>
  <c r="F161" i="24"/>
  <c r="D162" i="24"/>
  <c r="L162" i="24"/>
  <c r="F163" i="24"/>
  <c r="F164" i="24"/>
  <c r="F165" i="24"/>
  <c r="F166" i="24"/>
  <c r="N166" i="24" s="1"/>
  <c r="F167" i="24"/>
  <c r="F168" i="24"/>
  <c r="N168" i="24" s="1"/>
  <c r="F169" i="24"/>
  <c r="N169" i="24" s="1"/>
  <c r="F170" i="24"/>
  <c r="N170" i="24" s="1"/>
  <c r="F171" i="24"/>
  <c r="N171" i="24" s="1"/>
  <c r="O171" i="24"/>
  <c r="N172" i="24"/>
  <c r="D173" i="24"/>
  <c r="E173" i="24"/>
  <c r="H173" i="24"/>
  <c r="L173" i="24"/>
  <c r="F174" i="24"/>
  <c r="F177" i="24"/>
  <c r="N177" i="24" s="1"/>
  <c r="F180" i="24"/>
  <c r="N180" i="24" s="1"/>
  <c r="F181" i="24"/>
  <c r="F182" i="24"/>
  <c r="D184" i="24"/>
  <c r="F185" i="24"/>
  <c r="N185" i="24" s="1"/>
  <c r="F186" i="24"/>
  <c r="F187" i="24"/>
  <c r="F188" i="24"/>
  <c r="N188" i="24" s="1"/>
  <c r="F189" i="24"/>
  <c r="F190" i="24"/>
  <c r="D191" i="24"/>
  <c r="J191" i="24"/>
  <c r="L191" i="24"/>
  <c r="L183" i="24" s="1"/>
  <c r="F192" i="24"/>
  <c r="F193" i="24"/>
  <c r="F195" i="24"/>
  <c r="F196" i="24"/>
  <c r="F197" i="24"/>
  <c r="F198" i="24"/>
  <c r="F199" i="24"/>
  <c r="F201" i="24"/>
  <c r="F202" i="24"/>
  <c r="D216" i="24"/>
  <c r="D215" i="24" s="1"/>
  <c r="H216" i="24"/>
  <c r="L216" i="24"/>
  <c r="F217" i="24"/>
  <c r="O217" i="24"/>
  <c r="D218" i="24"/>
  <c r="H218" i="24"/>
  <c r="L218" i="24"/>
  <c r="F219" i="24"/>
  <c r="J219" i="24"/>
  <c r="J220" i="24"/>
  <c r="D222" i="24"/>
  <c r="E222" i="24"/>
  <c r="H222" i="24"/>
  <c r="L222" i="24"/>
  <c r="F223" i="24"/>
  <c r="J223" i="24"/>
  <c r="H224" i="24"/>
  <c r="L224" i="24"/>
  <c r="F225" i="24"/>
  <c r="J225" i="24"/>
  <c r="F227" i="24"/>
  <c r="J227" i="24"/>
  <c r="J228" i="24"/>
  <c r="J229" i="24"/>
  <c r="D230" i="24"/>
  <c r="E230" i="24"/>
  <c r="H230" i="24"/>
  <c r="L230" i="24"/>
  <c r="F231" i="24"/>
  <c r="J231" i="24"/>
  <c r="F232" i="24"/>
  <c r="D233" i="24"/>
  <c r="E233" i="24"/>
  <c r="F234" i="24"/>
  <c r="J234" i="24"/>
  <c r="D235" i="24"/>
  <c r="E235" i="24"/>
  <c r="F236" i="24"/>
  <c r="F237" i="24"/>
  <c r="J237" i="24"/>
  <c r="F238" i="24"/>
  <c r="F239" i="24"/>
  <c r="J239" i="24"/>
  <c r="D240" i="24"/>
  <c r="E240" i="24"/>
  <c r="F241" i="24"/>
  <c r="F242" i="24"/>
  <c r="D243" i="24"/>
  <c r="E243" i="24"/>
  <c r="H243" i="24"/>
  <c r="F244" i="24"/>
  <c r="J244" i="24"/>
  <c r="F245" i="24"/>
  <c r="J245" i="24"/>
  <c r="F246" i="24"/>
  <c r="O71" i="24"/>
  <c r="O55" i="24"/>
  <c r="M51" i="23"/>
  <c r="M29" i="23"/>
  <c r="M25" i="23"/>
  <c r="M23" i="23" s="1"/>
  <c r="O180" i="24"/>
  <c r="M13" i="23"/>
  <c r="M57" i="23"/>
  <c r="N51" i="23"/>
  <c r="M44" i="23"/>
  <c r="M56" i="23"/>
  <c r="N44" i="23"/>
  <c r="N53" i="23"/>
  <c r="M60" i="23"/>
  <c r="N57" i="23"/>
  <c r="M52" i="23"/>
  <c r="J54" i="24"/>
  <c r="O202" i="24"/>
  <c r="N64" i="23"/>
  <c r="M64" i="23"/>
  <c r="N86" i="23"/>
  <c r="O152" i="24"/>
  <c r="O24" i="24"/>
  <c r="O153" i="24"/>
  <c r="O146" i="24"/>
  <c r="I22" i="23"/>
  <c r="K22" i="23" s="1"/>
  <c r="L22" i="23" s="1"/>
  <c r="I20" i="23"/>
  <c r="N31" i="23"/>
  <c r="M31" i="23"/>
  <c r="M39" i="23"/>
  <c r="M41" i="23"/>
  <c r="N41" i="23"/>
  <c r="M62" i="23"/>
  <c r="N62" i="23"/>
  <c r="N78" i="23"/>
  <c r="M78" i="23"/>
  <c r="N34" i="23"/>
  <c r="M34" i="23"/>
  <c r="E221" i="24" l="1"/>
  <c r="F224" i="24"/>
  <c r="F11" i="24"/>
  <c r="J82" i="23"/>
  <c r="I243" i="24"/>
  <c r="O238" i="24"/>
  <c r="J238" i="24"/>
  <c r="O236" i="24"/>
  <c r="J236" i="24"/>
  <c r="O232" i="24"/>
  <c r="J232" i="24"/>
  <c r="O241" i="24"/>
  <c r="J241" i="24"/>
  <c r="O242" i="24"/>
  <c r="J242" i="24"/>
  <c r="O240" i="24"/>
  <c r="J240" i="24"/>
  <c r="N134" i="24"/>
  <c r="J134" i="24"/>
  <c r="O130" i="24"/>
  <c r="J130" i="24"/>
  <c r="O184" i="24"/>
  <c r="J184" i="24"/>
  <c r="O133" i="24"/>
  <c r="J133" i="24"/>
  <c r="J101" i="24"/>
  <c r="O84" i="24"/>
  <c r="J84" i="24"/>
  <c r="O100" i="24"/>
  <c r="J100" i="24"/>
  <c r="O117" i="24"/>
  <c r="J117" i="24"/>
  <c r="O92" i="24"/>
  <c r="J92" i="24"/>
  <c r="O81" i="24"/>
  <c r="J81" i="24"/>
  <c r="J102" i="24"/>
  <c r="J107" i="24"/>
  <c r="J110" i="24"/>
  <c r="J97" i="24"/>
  <c r="O95" i="24"/>
  <c r="J95" i="24"/>
  <c r="O73" i="24"/>
  <c r="J73" i="24"/>
  <c r="O103" i="24"/>
  <c r="J103" i="24"/>
  <c r="O91" i="24"/>
  <c r="J91" i="24"/>
  <c r="O33" i="24"/>
  <c r="J33" i="24"/>
  <c r="O49" i="24"/>
  <c r="J49" i="24"/>
  <c r="O53" i="24"/>
  <c r="J53" i="24"/>
  <c r="O19" i="24"/>
  <c r="J19" i="24"/>
  <c r="N51" i="24"/>
  <c r="J51" i="24"/>
  <c r="O18" i="24"/>
  <c r="J18" i="24"/>
  <c r="O16" i="24"/>
  <c r="J16" i="24"/>
  <c r="J79" i="24"/>
  <c r="F79" i="24"/>
  <c r="O76" i="24"/>
  <c r="O72" i="24"/>
  <c r="G9" i="23"/>
  <c r="J9" i="23"/>
  <c r="C33" i="23"/>
  <c r="N236" i="24"/>
  <c r="N234" i="24"/>
  <c r="F21" i="24"/>
  <c r="F233" i="24"/>
  <c r="J183" i="24"/>
  <c r="O32" i="24"/>
  <c r="L215" i="24"/>
  <c r="F162" i="24"/>
  <c r="O113" i="24"/>
  <c r="J112" i="24"/>
  <c r="N13" i="24"/>
  <c r="O13" i="24"/>
  <c r="O12" i="24"/>
  <c r="N12" i="24"/>
  <c r="L37" i="24"/>
  <c r="N110" i="24"/>
  <c r="J233" i="24"/>
  <c r="O225" i="24"/>
  <c r="E183" i="24"/>
  <c r="N91" i="24"/>
  <c r="O110" i="24"/>
  <c r="O173" i="24"/>
  <c r="N148" i="24"/>
  <c r="O44" i="24"/>
  <c r="N123" i="24"/>
  <c r="N102" i="24"/>
  <c r="O228" i="24"/>
  <c r="O42" i="24"/>
  <c r="O39" i="24"/>
  <c r="O40" i="24"/>
  <c r="I12" i="23"/>
  <c r="N13" i="23"/>
  <c r="D9" i="23"/>
  <c r="D82" i="23"/>
  <c r="D18" i="23"/>
  <c r="J18" i="23"/>
  <c r="G18" i="23"/>
  <c r="M22" i="23"/>
  <c r="I19" i="23"/>
  <c r="N20" i="23"/>
  <c r="N10" i="23"/>
  <c r="N97" i="24"/>
  <c r="N228" i="24"/>
  <c r="N111" i="24"/>
  <c r="O123" i="24"/>
  <c r="O94" i="24"/>
  <c r="O83" i="24"/>
  <c r="N52" i="24"/>
  <c r="O52" i="24"/>
  <c r="N18" i="24"/>
  <c r="N241" i="24"/>
  <c r="N77" i="24"/>
  <c r="N87" i="24"/>
  <c r="H183" i="24"/>
  <c r="N244" i="24"/>
  <c r="N227" i="24"/>
  <c r="O239" i="24"/>
  <c r="N246" i="24"/>
  <c r="O119" i="24"/>
  <c r="N99" i="24"/>
  <c r="N17" i="24"/>
  <c r="C18" i="23"/>
  <c r="N23" i="23"/>
  <c r="F222" i="24"/>
  <c r="N82" i="24"/>
  <c r="N81" i="24"/>
  <c r="F235" i="24"/>
  <c r="F173" i="24"/>
  <c r="N95" i="24"/>
  <c r="F54" i="24"/>
  <c r="N54" i="24" s="1"/>
  <c r="F45" i="24"/>
  <c r="F38" i="24"/>
  <c r="C8" i="9"/>
  <c r="D33" i="23"/>
  <c r="O51" i="24"/>
  <c r="D10" i="24"/>
  <c r="N80" i="24"/>
  <c r="F184" i="24"/>
  <c r="F218" i="24"/>
  <c r="H215" i="24"/>
  <c r="J243" i="24"/>
  <c r="F243" i="24"/>
  <c r="F216" i="24"/>
  <c r="N216" i="24" s="1"/>
  <c r="F156" i="24"/>
  <c r="D106" i="24"/>
  <c r="N92" i="24"/>
  <c r="O237" i="24"/>
  <c r="J235" i="24"/>
  <c r="N223" i="24"/>
  <c r="O149" i="24"/>
  <c r="O48" i="24"/>
  <c r="F230" i="24"/>
  <c r="D221" i="24"/>
  <c r="F215" i="24"/>
  <c r="N202" i="24"/>
  <c r="N196" i="24"/>
  <c r="N193" i="24"/>
  <c r="N182" i="24"/>
  <c r="N174" i="24"/>
  <c r="F129" i="24"/>
  <c r="N131" i="24"/>
  <c r="F112" i="24"/>
  <c r="F89" i="24"/>
  <c r="F74" i="24"/>
  <c r="N39" i="24"/>
  <c r="N238" i="24"/>
  <c r="O200" i="24"/>
  <c r="N200" i="24"/>
  <c r="N217" i="24"/>
  <c r="O159" i="24"/>
  <c r="N159" i="24"/>
  <c r="N100" i="24"/>
  <c r="N76" i="24"/>
  <c r="O46" i="24"/>
  <c r="N245" i="24"/>
  <c r="N199" i="24"/>
  <c r="N198" i="24"/>
  <c r="N192" i="24"/>
  <c r="N195" i="24"/>
  <c r="N132" i="24"/>
  <c r="N144" i="24"/>
  <c r="N73" i="24"/>
  <c r="N103" i="24"/>
  <c r="N52" i="23"/>
  <c r="M85" i="23"/>
  <c r="N85" i="23"/>
  <c r="M10" i="23"/>
  <c r="L221" i="24"/>
  <c r="N187" i="24"/>
  <c r="N186" i="24"/>
  <c r="N232" i="24"/>
  <c r="N197" i="24"/>
  <c r="N165" i="24"/>
  <c r="O165" i="24"/>
  <c r="N133" i="24"/>
  <c r="J118" i="24"/>
  <c r="N119" i="24"/>
  <c r="O115" i="24"/>
  <c r="N50" i="24"/>
  <c r="N24" i="24"/>
  <c r="O22" i="24"/>
  <c r="N19" i="24"/>
  <c r="N239" i="24"/>
  <c r="O223" i="24"/>
  <c r="N189" i="24"/>
  <c r="O168" i="24"/>
  <c r="O157" i="24"/>
  <c r="N190" i="24"/>
  <c r="N158" i="24"/>
  <c r="O174" i="24"/>
  <c r="O166" i="24"/>
  <c r="N181" i="24"/>
  <c r="N157" i="24"/>
  <c r="J147" i="24"/>
  <c r="N116" i="24"/>
  <c r="N122" i="24"/>
  <c r="N115" i="24"/>
  <c r="O116" i="24"/>
  <c r="O148" i="24"/>
  <c r="N141" i="24"/>
  <c r="N101" i="24"/>
  <c r="O77" i="24"/>
  <c r="N32" i="24"/>
  <c r="N229" i="24"/>
  <c r="M63" i="23"/>
  <c r="E8" i="9"/>
  <c r="N94" i="24"/>
  <c r="O90" i="24"/>
  <c r="N90" i="24"/>
  <c r="O229" i="24"/>
  <c r="H221" i="24"/>
  <c r="O164" i="24"/>
  <c r="N164" i="24"/>
  <c r="O156" i="24"/>
  <c r="N161" i="24"/>
  <c r="O161" i="24"/>
  <c r="L106" i="24"/>
  <c r="N142" i="24"/>
  <c r="N130" i="24"/>
  <c r="H106" i="24"/>
  <c r="N113" i="24"/>
  <c r="N88" i="24"/>
  <c r="J86" i="24"/>
  <c r="N72" i="24"/>
  <c r="N49" i="24"/>
  <c r="H37" i="24"/>
  <c r="J45" i="24"/>
  <c r="N48" i="24"/>
  <c r="N47" i="24"/>
  <c r="N46" i="24"/>
  <c r="N43" i="24"/>
  <c r="O41" i="24"/>
  <c r="O36" i="24"/>
  <c r="N34" i="24"/>
  <c r="O34" i="24"/>
  <c r="L10" i="24"/>
  <c r="H10" i="24"/>
  <c r="O23" i="24"/>
  <c r="O17" i="24"/>
  <c r="N219" i="24"/>
  <c r="N237" i="24"/>
  <c r="N231" i="24"/>
  <c r="N242" i="24"/>
  <c r="N225" i="24"/>
  <c r="O196" i="24"/>
  <c r="N201" i="24"/>
  <c r="N167" i="24"/>
  <c r="J129" i="24"/>
  <c r="J140" i="24"/>
  <c r="N149" i="24"/>
  <c r="N121" i="24"/>
  <c r="N143" i="24"/>
  <c r="O143" i="24"/>
  <c r="N117" i="24"/>
  <c r="N53" i="24"/>
  <c r="O99" i="24"/>
  <c r="N85" i="24"/>
  <c r="N93" i="24"/>
  <c r="N57" i="24"/>
  <c r="J96" i="24"/>
  <c r="N31" i="24"/>
  <c r="O47" i="24"/>
  <c r="J21" i="24"/>
  <c r="O43" i="24"/>
  <c r="N14" i="24"/>
  <c r="N44" i="24"/>
  <c r="N33" i="24"/>
  <c r="O14" i="24"/>
  <c r="O25" i="24"/>
  <c r="N40" i="24"/>
  <c r="N25" i="24"/>
  <c r="F240" i="24"/>
  <c r="N240" i="24" s="1"/>
  <c r="F147" i="24"/>
  <c r="F107" i="24"/>
  <c r="O54" i="24"/>
  <c r="N84" i="24"/>
  <c r="E37" i="24"/>
  <c r="F70" i="24"/>
  <c r="F15" i="24"/>
  <c r="E10" i="24"/>
  <c r="O120" i="24"/>
  <c r="N120" i="24"/>
  <c r="M40" i="23"/>
  <c r="N39" i="23"/>
  <c r="M28" i="23"/>
  <c r="N22" i="23"/>
  <c r="M20" i="23"/>
  <c r="M27" i="23"/>
  <c r="M26" i="23" s="1"/>
  <c r="F191" i="24"/>
  <c r="D183" i="24"/>
  <c r="O163" i="24"/>
  <c r="N40" i="23"/>
  <c r="O216" i="24"/>
  <c r="O151" i="24"/>
  <c r="N151" i="24"/>
  <c r="N38" i="23"/>
  <c r="M38" i="23"/>
  <c r="N28" i="23"/>
  <c r="I21" i="23"/>
  <c r="E106" i="24"/>
  <c r="N98" i="24"/>
  <c r="F96" i="24"/>
  <c r="N83" i="24"/>
  <c r="N42" i="24"/>
  <c r="J38" i="24"/>
  <c r="N16" i="24"/>
  <c r="O246" i="24"/>
  <c r="N163" i="24"/>
  <c r="F140" i="24"/>
  <c r="F118" i="24"/>
  <c r="F30" i="24"/>
  <c r="O131" i="24"/>
  <c r="D37" i="24"/>
  <c r="N60" i="23"/>
  <c r="N83" i="23"/>
  <c r="M37" i="23"/>
  <c r="F221" i="24" l="1"/>
  <c r="M243" i="24"/>
  <c r="O79" i="24"/>
  <c r="O224" i="24"/>
  <c r="J224" i="24"/>
  <c r="O222" i="24"/>
  <c r="J222" i="24"/>
  <c r="J215" i="24"/>
  <c r="J218" i="24"/>
  <c r="O230" i="24"/>
  <c r="J230" i="24"/>
  <c r="O89" i="24"/>
  <c r="J89" i="24"/>
  <c r="O74" i="24"/>
  <c r="J74" i="24"/>
  <c r="O70" i="24"/>
  <c r="J70" i="24"/>
  <c r="O11" i="24"/>
  <c r="J11" i="24"/>
  <c r="M11" i="24" s="1"/>
  <c r="O15" i="24"/>
  <c r="J15" i="24"/>
  <c r="O30" i="24"/>
  <c r="J30" i="24"/>
  <c r="G96" i="23"/>
  <c r="K21" i="23"/>
  <c r="L19" i="23"/>
  <c r="K12" i="23"/>
  <c r="L247" i="24"/>
  <c r="N21" i="24"/>
  <c r="N233" i="24"/>
  <c r="N243" i="24"/>
  <c r="I9" i="23"/>
  <c r="C96" i="23"/>
  <c r="N19" i="23"/>
  <c r="D96" i="23"/>
  <c r="M19" i="23"/>
  <c r="M33" i="23"/>
  <c r="N12" i="23"/>
  <c r="J96" i="23"/>
  <c r="J221" i="24"/>
  <c r="N218" i="24"/>
  <c r="J106" i="24"/>
  <c r="N173" i="24"/>
  <c r="N184" i="24"/>
  <c r="N38" i="24"/>
  <c r="I18" i="23"/>
  <c r="O118" i="24"/>
  <c r="N222" i="24"/>
  <c r="E247" i="24"/>
  <c r="N230" i="24"/>
  <c r="O235" i="24"/>
  <c r="N215" i="24"/>
  <c r="N118" i="24"/>
  <c r="N235" i="24"/>
  <c r="D247" i="24"/>
  <c r="N70" i="24"/>
  <c r="N74" i="24"/>
  <c r="N33" i="23"/>
  <c r="N79" i="24"/>
  <c r="N156" i="24"/>
  <c r="N147" i="24"/>
  <c r="O147" i="24"/>
  <c r="N11" i="24"/>
  <c r="N15" i="24"/>
  <c r="N89" i="24"/>
  <c r="N224" i="24"/>
  <c r="O140" i="24"/>
  <c r="N112" i="24"/>
  <c r="O112" i="24"/>
  <c r="N86" i="24"/>
  <c r="O86" i="24"/>
  <c r="O45" i="24"/>
  <c r="N45" i="24"/>
  <c r="N30" i="24"/>
  <c r="H247" i="24"/>
  <c r="O21" i="24"/>
  <c r="O129" i="24"/>
  <c r="N129" i="24"/>
  <c r="N140" i="24"/>
  <c r="O96" i="24"/>
  <c r="N96" i="24"/>
  <c r="F37" i="24"/>
  <c r="N191" i="24"/>
  <c r="F183" i="24"/>
  <c r="F10" i="24"/>
  <c r="O107" i="24"/>
  <c r="N107" i="24"/>
  <c r="M12" i="23"/>
  <c r="M9" i="23" s="1"/>
  <c r="O38" i="24"/>
  <c r="J37" i="24"/>
  <c r="F106" i="24"/>
  <c r="O162" i="24"/>
  <c r="N162" i="24"/>
  <c r="M83" i="23"/>
  <c r="N21" i="23"/>
  <c r="M21" i="23"/>
  <c r="O215" i="24"/>
  <c r="N63" i="23"/>
  <c r="L12" i="23" l="1"/>
  <c r="L9" i="23" s="1"/>
  <c r="K9" i="23"/>
  <c r="L21" i="23"/>
  <c r="K18" i="23"/>
  <c r="I96" i="23"/>
  <c r="M18" i="23"/>
  <c r="N18" i="23"/>
  <c r="N221" i="24"/>
  <c r="O221" i="24"/>
  <c r="N37" i="24"/>
  <c r="N106" i="24"/>
  <c r="O37" i="24"/>
  <c r="N9" i="23"/>
  <c r="O106" i="24"/>
  <c r="O183" i="24"/>
  <c r="F247" i="24"/>
  <c r="N183" i="24"/>
  <c r="M82" i="23"/>
  <c r="N82" i="23"/>
  <c r="K96" i="23" l="1"/>
  <c r="L96" i="23" s="1"/>
  <c r="L18" i="23"/>
  <c r="M96" i="23"/>
  <c r="N96" i="23"/>
  <c r="N36" i="23" l="1"/>
  <c r="M36" i="23" l="1"/>
  <c r="G16" i="9"/>
  <c r="H16" i="9" l="1"/>
  <c r="M67" i="23" l="1"/>
  <c r="N67" i="23"/>
  <c r="N20" i="24" l="1"/>
  <c r="I10" i="24"/>
  <c r="I247" i="24" l="1"/>
  <c r="M10" i="24"/>
  <c r="J10" i="24"/>
  <c r="O10" i="24"/>
  <c r="N10" i="24"/>
  <c r="M247" i="24" l="1"/>
  <c r="J247" i="24"/>
  <c r="N247" i="24"/>
  <c r="O247" i="24"/>
  <c r="F27" i="9" l="1"/>
  <c r="G27" i="9" l="1"/>
  <c r="H27" i="9"/>
  <c r="F20" i="9"/>
  <c r="G20" i="9" s="1"/>
  <c r="F30" i="9"/>
  <c r="G30" i="9" s="1"/>
  <c r="F13" i="9"/>
  <c r="H13" i="9" s="1"/>
  <c r="F18" i="9"/>
  <c r="G18" i="9" s="1"/>
  <c r="F17" i="9"/>
  <c r="I17" i="9" s="1"/>
  <c r="F28" i="9"/>
  <c r="H28" i="9" s="1"/>
  <c r="F15" i="9"/>
  <c r="H15" i="9" s="1"/>
  <c r="F26" i="9"/>
  <c r="F12" i="9"/>
  <c r="H12" i="9" s="1"/>
  <c r="I12" i="9" l="1"/>
  <c r="I28" i="9"/>
  <c r="G26" i="9"/>
  <c r="I20" i="9"/>
  <c r="G12" i="9"/>
  <c r="G28" i="9"/>
  <c r="H17" i="9"/>
  <c r="I15" i="9"/>
  <c r="I13" i="9"/>
  <c r="F10" i="9"/>
  <c r="H26" i="9"/>
  <c r="H20" i="9"/>
  <c r="H18" i="9"/>
  <c r="H30" i="9"/>
  <c r="I18" i="9"/>
  <c r="G13" i="9"/>
  <c r="G15" i="9"/>
  <c r="F24" i="9"/>
  <c r="G17" i="9"/>
  <c r="I26" i="9"/>
  <c r="I30" i="9"/>
  <c r="G24" i="9" l="1"/>
  <c r="I24" i="9"/>
  <c r="F22" i="9"/>
  <c r="F8" i="9" s="1"/>
  <c r="H24" i="9"/>
  <c r="I10" i="9"/>
  <c r="H10" i="9"/>
  <c r="G10" i="9"/>
  <c r="I8" i="9" l="1"/>
  <c r="G8" i="9"/>
  <c r="H8" i="9"/>
  <c r="H22" i="9"/>
  <c r="G22" i="9"/>
  <c r="I22" i="9"/>
</calcChain>
</file>

<file path=xl/sharedStrings.xml><?xml version="1.0" encoding="utf-8"?>
<sst xmlns="http://schemas.openxmlformats.org/spreadsheetml/2006/main" count="842" uniqueCount="420">
  <si>
    <t>DETALLE</t>
  </si>
  <si>
    <t>ASIGNADO</t>
  </si>
  <si>
    <t xml:space="preserve"> </t>
  </si>
  <si>
    <t>%</t>
  </si>
  <si>
    <t>MODIFICADO</t>
  </si>
  <si>
    <t>T   O   T   A   L</t>
  </si>
  <si>
    <t>INGRESOS PROPIOS</t>
  </si>
  <si>
    <t xml:space="preserve">   VENTA DE SERVICIOS</t>
  </si>
  <si>
    <t xml:space="preserve">   OTROS SER. AUTOGESTION</t>
  </si>
  <si>
    <t xml:space="preserve">   MATRICULA-DERECHOS</t>
  </si>
  <si>
    <t xml:space="preserve">   OTROS - BIBLIOTECA</t>
  </si>
  <si>
    <t xml:space="preserve">   TASAS</t>
  </si>
  <si>
    <t xml:space="preserve">   INGRESOS VARIOS</t>
  </si>
  <si>
    <t>APORTE ESTATAL</t>
  </si>
  <si>
    <t>SALDO</t>
  </si>
  <si>
    <t>A LA FECHA</t>
  </si>
  <si>
    <t>ANUAL</t>
  </si>
  <si>
    <t>PRESUPUESTO</t>
  </si>
  <si>
    <t>MENSUAL</t>
  </si>
  <si>
    <t xml:space="preserve">  CODIFICACION PRESUPUESTARIA</t>
  </si>
  <si>
    <t xml:space="preserve">               PRESUPUESTO</t>
  </si>
  <si>
    <t xml:space="preserve">           RECAUDACION</t>
  </si>
  <si>
    <t>ACUMULADA</t>
  </si>
  <si>
    <t>Rec/Asig.</t>
  </si>
  <si>
    <t xml:space="preserve"> 1.2.1.4.07</t>
  </si>
  <si>
    <t xml:space="preserve"> 1.2.1.4.99</t>
  </si>
  <si>
    <t xml:space="preserve">   BIENESTAR ESTUDIANTIL</t>
  </si>
  <si>
    <t>1.2.1.4.99</t>
  </si>
  <si>
    <t>1.2.4.1.24</t>
  </si>
  <si>
    <t>1.2.4.1.99</t>
  </si>
  <si>
    <t>1.2.4.2.26</t>
  </si>
  <si>
    <t>1.2.6.0.99</t>
  </si>
  <si>
    <t>SALDO EN CAJA ( CORRIENTE )</t>
  </si>
  <si>
    <t>1.4.2.0.01</t>
  </si>
  <si>
    <t>SALDO EN CAJA ( CAPITAL )</t>
  </si>
  <si>
    <t>2.4.2.0.01</t>
  </si>
  <si>
    <t>TRANSFERENCIAS CORRIENTES</t>
  </si>
  <si>
    <t>1.2.3.1.07</t>
  </si>
  <si>
    <t>APORTE LIBRE</t>
  </si>
  <si>
    <t>I.D.A.A.N.</t>
  </si>
  <si>
    <t>CONTRIBUCION A LA S.S.</t>
  </si>
  <si>
    <t>TRANSFERENCIAS DE CAPITAL</t>
  </si>
  <si>
    <t>2.3.2.1.07</t>
  </si>
  <si>
    <t>OBJETO DEL GASTO</t>
  </si>
  <si>
    <t>EJECUCIÓN</t>
  </si>
  <si>
    <t>PAGADO ACUMUL.</t>
  </si>
  <si>
    <t>% EJEC/  ASIG</t>
  </si>
  <si>
    <t>LEY</t>
  </si>
  <si>
    <t>AJUSTE</t>
  </si>
  <si>
    <t>MODIFIC.</t>
  </si>
  <si>
    <t>ACUMUL.</t>
  </si>
  <si>
    <t xml:space="preserve"> FECHA</t>
  </si>
  <si>
    <t>0</t>
  </si>
  <si>
    <t>SERVICIOS PERSONALES</t>
  </si>
  <si>
    <t>000</t>
  </si>
  <si>
    <t>SUELDOS FIJOS</t>
  </si>
  <si>
    <t>001</t>
  </si>
  <si>
    <t>002</t>
  </si>
  <si>
    <t>SUELDO PERSONAL TRANS.</t>
  </si>
  <si>
    <t>003</t>
  </si>
  <si>
    <t>CONTINGENTE</t>
  </si>
  <si>
    <t>010</t>
  </si>
  <si>
    <t xml:space="preserve">SOBRESUELDOS </t>
  </si>
  <si>
    <t>011</t>
  </si>
  <si>
    <t>SOBRESUELDO POR ANTIG.</t>
  </si>
  <si>
    <t>013</t>
  </si>
  <si>
    <t>SOBRESUELDOS POR JEF.</t>
  </si>
  <si>
    <t>019</t>
  </si>
  <si>
    <t>OTROS SOBRESUELDOS</t>
  </si>
  <si>
    <t>030</t>
  </si>
  <si>
    <t>GASTOS DE REPRES.</t>
  </si>
  <si>
    <t>050</t>
  </si>
  <si>
    <t>XIII MES</t>
  </si>
  <si>
    <t>070</t>
  </si>
  <si>
    <t>CONTRIBUC. A LA S.S.</t>
  </si>
  <si>
    <t>071</t>
  </si>
  <si>
    <t>C.P. SEG. SOCIAL</t>
  </si>
  <si>
    <t>072</t>
  </si>
  <si>
    <t>C.P. SEG. EDUCATIVO</t>
  </si>
  <si>
    <t>073</t>
  </si>
  <si>
    <t>C.P. RIESGO PROF.</t>
  </si>
  <si>
    <t>074</t>
  </si>
  <si>
    <t>C.P. FDO COMPLEM.</t>
  </si>
  <si>
    <t>080</t>
  </si>
  <si>
    <t>OTROS SERV. PERSONALES</t>
  </si>
  <si>
    <t>090</t>
  </si>
  <si>
    <t>CR.REC.POR S. PERSONAL</t>
  </si>
  <si>
    <t>091</t>
  </si>
  <si>
    <t>CRED.REC.POR SUELDO</t>
  </si>
  <si>
    <t>092</t>
  </si>
  <si>
    <t>1</t>
  </si>
  <si>
    <t>SERV. NO PERSONALES</t>
  </si>
  <si>
    <t>ALQUILERES</t>
  </si>
  <si>
    <t>101</t>
  </si>
  <si>
    <t>DE EDIFICIOS</t>
  </si>
  <si>
    <t>102</t>
  </si>
  <si>
    <t>EQUIPO ELECTRONICO</t>
  </si>
  <si>
    <t>103</t>
  </si>
  <si>
    <t>EQUIPO DE OFICINA</t>
  </si>
  <si>
    <t>104</t>
  </si>
  <si>
    <t>ALQ. DE EQ. DE PROD.</t>
  </si>
  <si>
    <t>105</t>
  </si>
  <si>
    <t>ALQ. DE EQ. DE TRANSPORTE</t>
  </si>
  <si>
    <t>109</t>
  </si>
  <si>
    <t>OTROS ALQUILERES</t>
  </si>
  <si>
    <t>110</t>
  </si>
  <si>
    <t>SERVICIOS BASICOS</t>
  </si>
  <si>
    <t>111</t>
  </si>
  <si>
    <t>AGUA</t>
  </si>
  <si>
    <t>112</t>
  </si>
  <si>
    <t>ASEO</t>
  </si>
  <si>
    <t>113</t>
  </si>
  <si>
    <t>CORREO</t>
  </si>
  <si>
    <t>114</t>
  </si>
  <si>
    <t>ENERGIA ELECTRICA</t>
  </si>
  <si>
    <t>115</t>
  </si>
  <si>
    <t>TELECOMUNICACIONES</t>
  </si>
  <si>
    <t>120</t>
  </si>
  <si>
    <t>IMPRESOS Y ENCUADER.</t>
  </si>
  <si>
    <t>130</t>
  </si>
  <si>
    <t>INF.Y PUBLICIDAD</t>
  </si>
  <si>
    <t>131</t>
  </si>
  <si>
    <t>ANUNCIOS Y AVISOS</t>
  </si>
  <si>
    <t>OTROS GASTOS DE INF.</t>
  </si>
  <si>
    <t>140</t>
  </si>
  <si>
    <t>VIATICOS</t>
  </si>
  <si>
    <t>141</t>
  </si>
  <si>
    <t>DENTRO DEL PAIS</t>
  </si>
  <si>
    <t>142</t>
  </si>
  <si>
    <t>EN EL EXTERIOR</t>
  </si>
  <si>
    <t>A PERSONAS</t>
  </si>
  <si>
    <t>150</t>
  </si>
  <si>
    <t>TRANSPORTE</t>
  </si>
  <si>
    <t>151</t>
  </si>
  <si>
    <t>152</t>
  </si>
  <si>
    <t>DE OTRAS PERSONAS</t>
  </si>
  <si>
    <t>160</t>
  </si>
  <si>
    <t>S. COMERCIALES</t>
  </si>
  <si>
    <t>161</t>
  </si>
  <si>
    <t>ALMACENAJE</t>
  </si>
  <si>
    <t>164</t>
  </si>
  <si>
    <t>GASTOS DE SEGURO</t>
  </si>
  <si>
    <t>SERVICIOS ADUANEROS</t>
  </si>
  <si>
    <t>169</t>
  </si>
  <si>
    <t>OTROS SERVICIOS</t>
  </si>
  <si>
    <t>172</t>
  </si>
  <si>
    <t>SERVICIOS ESPECIALES</t>
  </si>
  <si>
    <t>180</t>
  </si>
  <si>
    <t>MANTO Y REPARACION</t>
  </si>
  <si>
    <t>MANT. Y REPARACION  EDIF.</t>
  </si>
  <si>
    <t>182</t>
  </si>
  <si>
    <t>189</t>
  </si>
  <si>
    <t>OTROS MANTENIMIENTO</t>
  </si>
  <si>
    <t>CR.REC.POR S. NO PERS.</t>
  </si>
  <si>
    <t>CRED.REC.POR Alquileres.</t>
  </si>
  <si>
    <t>CRED.REC.POR SERV. BAS.</t>
  </si>
  <si>
    <t>CRED.REC.POR VIÁTICOS</t>
  </si>
  <si>
    <t>CRED. REC. POR TRAN.DE PER</t>
  </si>
  <si>
    <t>CRED. REC. POR SERV. COM.</t>
  </si>
  <si>
    <t>CRED.REC.POR CONSULTORIAS</t>
  </si>
  <si>
    <t>CRED.REC. POR MANTO Y REP.</t>
  </si>
  <si>
    <t>2</t>
  </si>
  <si>
    <t>MATER.Y SUMINISTROS</t>
  </si>
  <si>
    <t>200</t>
  </si>
  <si>
    <t>ALIMENTOS Y BEBIDAS</t>
  </si>
  <si>
    <t>201</t>
  </si>
  <si>
    <t>PARA CONSUMO HUMANO</t>
  </si>
  <si>
    <t>203</t>
  </si>
  <si>
    <t>BEBIDAS</t>
  </si>
  <si>
    <t>209</t>
  </si>
  <si>
    <t>OTROS ALIMENTOS Y BEB.</t>
  </si>
  <si>
    <t>210</t>
  </si>
  <si>
    <t>TEXTILES Y VESTUARIOS</t>
  </si>
  <si>
    <t>211</t>
  </si>
  <si>
    <t>ACABADO TEXTIL</t>
  </si>
  <si>
    <t>212</t>
  </si>
  <si>
    <t>CALZADOS</t>
  </si>
  <si>
    <t>213</t>
  </si>
  <si>
    <t>HILADOS Y TELAS</t>
  </si>
  <si>
    <t>214</t>
  </si>
  <si>
    <t>PRENDAS DE VESTIR</t>
  </si>
  <si>
    <t>219</t>
  </si>
  <si>
    <t>OTROS TEXTILES</t>
  </si>
  <si>
    <t>220</t>
  </si>
  <si>
    <t>COMBUSTIBLES Y LUB.</t>
  </si>
  <si>
    <t>221</t>
  </si>
  <si>
    <t>DIESEL</t>
  </si>
  <si>
    <t>223</t>
  </si>
  <si>
    <t>GASOLINA</t>
  </si>
  <si>
    <t>224</t>
  </si>
  <si>
    <t>LUBRICANTES</t>
  </si>
  <si>
    <t>OTROS COMBUSTIBLES</t>
  </si>
  <si>
    <t>230</t>
  </si>
  <si>
    <t>PROD. DE PAPEL</t>
  </si>
  <si>
    <t>231</t>
  </si>
  <si>
    <t>IMPRESOS</t>
  </si>
  <si>
    <t>232</t>
  </si>
  <si>
    <t>PAPELERIA</t>
  </si>
  <si>
    <t>239</t>
  </si>
  <si>
    <t>OTROS PROD. DE PAPEL</t>
  </si>
  <si>
    <t>240</t>
  </si>
  <si>
    <t>OTROS PROD. QUIMICOS</t>
  </si>
  <si>
    <t>241</t>
  </si>
  <si>
    <t>ABONOS Y FERTILIZANTES</t>
  </si>
  <si>
    <t>242</t>
  </si>
  <si>
    <t>INSECT. FUMIGANTES Y OTROS</t>
  </si>
  <si>
    <t>243</t>
  </si>
  <si>
    <t>PINTURAS</t>
  </si>
  <si>
    <t>244</t>
  </si>
  <si>
    <t>PRODUCTOS MEDICINALES</t>
  </si>
  <si>
    <t>ARTICULOS FARMACEUTICOS</t>
  </si>
  <si>
    <t>249</t>
  </si>
  <si>
    <t>OTROS P. QUIMICOS</t>
  </si>
  <si>
    <t>250</t>
  </si>
  <si>
    <t>MAT. DE CONSTRUCCION</t>
  </si>
  <si>
    <t>252</t>
  </si>
  <si>
    <t>CEMENTO</t>
  </si>
  <si>
    <t>253</t>
  </si>
  <si>
    <t>MADERAS</t>
  </si>
  <si>
    <t>M. DE PLOMERIA</t>
  </si>
  <si>
    <t>255</t>
  </si>
  <si>
    <t>M. DE ELECTRICIDAD</t>
  </si>
  <si>
    <t>256</t>
  </si>
  <si>
    <t>M. METALICOS</t>
  </si>
  <si>
    <t>PIEDRA Y ARENA</t>
  </si>
  <si>
    <t>259</t>
  </si>
  <si>
    <t>OROS MATERIALES</t>
  </si>
  <si>
    <t>260</t>
  </si>
  <si>
    <t>PRODUCTOS VARIOS</t>
  </si>
  <si>
    <t>ARTICULOS PARA RECEPCION</t>
  </si>
  <si>
    <t>262</t>
  </si>
  <si>
    <t>HERRAM. E INST.</t>
  </si>
  <si>
    <t>265</t>
  </si>
  <si>
    <t>269</t>
  </si>
  <si>
    <t>OTROS P. VARIOS</t>
  </si>
  <si>
    <t>270</t>
  </si>
  <si>
    <t>UTILES DE M. DIVERSOS</t>
  </si>
  <si>
    <t>271</t>
  </si>
  <si>
    <t>UTILES DE COCINA Y COMEDOR</t>
  </si>
  <si>
    <t>272</t>
  </si>
  <si>
    <t>UTILES DEPORTIVOS</t>
  </si>
  <si>
    <t>273</t>
  </si>
  <si>
    <t>UTILES DE ASEO</t>
  </si>
  <si>
    <t>274</t>
  </si>
  <si>
    <t>UTILES DE LABORATORIOS</t>
  </si>
  <si>
    <t>275</t>
  </si>
  <si>
    <t>UTILES DE OFICINA</t>
  </si>
  <si>
    <t>INSTRUMENTOS MEDICOS</t>
  </si>
  <si>
    <t>ARTICULOS DE PROTESIS Y REHA.</t>
  </si>
  <si>
    <t>279</t>
  </si>
  <si>
    <t>OTROS U. Y MATERIALES</t>
  </si>
  <si>
    <t>280</t>
  </si>
  <si>
    <t>REPUESTOS</t>
  </si>
  <si>
    <t>CR.REC.POR MAT. Y SUM.</t>
  </si>
  <si>
    <t>CR.REC. POR ALIMENTOS</t>
  </si>
  <si>
    <t>CD.REC. COMB. Y LUB.</t>
  </si>
  <si>
    <t>CD.REC. PROD. VARIOS</t>
  </si>
  <si>
    <t>CRED.REC.UTILES Y MAT.</t>
  </si>
  <si>
    <t>3</t>
  </si>
  <si>
    <t>MAQUINARIA Y EQUIPO</t>
  </si>
  <si>
    <t>MAQ.Y EQ. DE PRODUCCION</t>
  </si>
  <si>
    <t>MAQ. Y EQ. TRANSPORTE</t>
  </si>
  <si>
    <t>EQUIPO DE LABORATORIO</t>
  </si>
  <si>
    <t>EQUIPO DE, LABORATORIO</t>
  </si>
  <si>
    <t>MOBILIARIO DE OFICINA</t>
  </si>
  <si>
    <t>MAQ. Y EQUIPOS VARIOS</t>
  </si>
  <si>
    <t>EQUIPO DE COMPUTACION</t>
  </si>
  <si>
    <t>INV. FINANCIERAS</t>
  </si>
  <si>
    <t>COMPRA DE EXISTENCIA</t>
  </si>
  <si>
    <t>OTRAS EXISTENCIAS</t>
  </si>
  <si>
    <t>CR. REC. INVERSIONES FIN.</t>
  </si>
  <si>
    <t>CR. REC.  COMPRA EXISTENCIA</t>
  </si>
  <si>
    <t>6</t>
  </si>
  <si>
    <t>TRANSFERECIAS CORR.</t>
  </si>
  <si>
    <t>600</t>
  </si>
  <si>
    <t>PENSIONES Y JUBILACIONES</t>
  </si>
  <si>
    <t>609</t>
  </si>
  <si>
    <t>610</t>
  </si>
  <si>
    <t>BECAS DE ESTUDIO</t>
  </si>
  <si>
    <t>ADIEST. Y ESTUDIOS</t>
  </si>
  <si>
    <t>640</t>
  </si>
  <si>
    <t>A INSTIT. PUBLICAS</t>
  </si>
  <si>
    <t>641</t>
  </si>
  <si>
    <t>A GOBIERNO CENTRAL</t>
  </si>
  <si>
    <t>660</t>
  </si>
  <si>
    <t>TRANSF. AL EXTERIOR</t>
  </si>
  <si>
    <t>661</t>
  </si>
  <si>
    <t>DONACIONES</t>
  </si>
  <si>
    <t>CUOTA  ORG. CENTROAM.</t>
  </si>
  <si>
    <t>663</t>
  </si>
  <si>
    <t>CUOTA  ORG. INTERAM.</t>
  </si>
  <si>
    <t>664</t>
  </si>
  <si>
    <t>CUOTA A ORG. MUNDIALES</t>
  </si>
  <si>
    <t>TOTAL FUNCIONAMIENTO</t>
  </si>
  <si>
    <t>163</t>
  </si>
  <si>
    <t>GASTOS JUDICIALES</t>
  </si>
  <si>
    <t>GAS</t>
  </si>
  <si>
    <t>Cred. Rec. Por sobresueldos</t>
  </si>
  <si>
    <t>099</t>
  </si>
  <si>
    <t>CRE.REC.POR Cont. Seguridad SOC.</t>
  </si>
  <si>
    <t>132</t>
  </si>
  <si>
    <t>PROMOCION Y PUBLICIDAD</t>
  </si>
  <si>
    <t>162</t>
  </si>
  <si>
    <t>CPMISIONES Y GASTOS BVANCARIOS</t>
  </si>
  <si>
    <t>MANT. Y REPARACION MAQ. OTROS</t>
  </si>
  <si>
    <t>MANT. Y REPARACION  MOBILIARIOS</t>
  </si>
  <si>
    <t>MANT. Y REPARACION  OBRAS</t>
  </si>
  <si>
    <t>OTRAS MAQ. Y EQ. TRANSPORTE</t>
  </si>
  <si>
    <t>622</t>
  </si>
  <si>
    <t>BECAS UNIVERSITARIAS</t>
  </si>
  <si>
    <t>MAQ. Y  EQ.  COMUNICACIONES</t>
  </si>
  <si>
    <t>DONATIVOS A PERSONAS</t>
  </si>
  <si>
    <t>096</t>
  </si>
  <si>
    <t>CRED.REC.POR DECIMO III</t>
  </si>
  <si>
    <t>CRED. REC. POR TRANSF.COM</t>
  </si>
  <si>
    <t>MANT. DE EQUIPOS DE COMP.</t>
  </si>
  <si>
    <t>MAQ. Y EQUIPO INDUSTRIAL</t>
  </si>
  <si>
    <t xml:space="preserve">MAQ. Y EQUIPO DE TALLERES </t>
  </si>
  <si>
    <t>DEUDA INTERNA</t>
  </si>
  <si>
    <t xml:space="preserve">COMISIONES, HONORARIOS </t>
  </si>
  <si>
    <t>TEXTOS DE ENSEÑANZAS</t>
  </si>
  <si>
    <t>OTRAS TRANSFERENCIAS</t>
  </si>
  <si>
    <t>CONSULTORIAS</t>
  </si>
  <si>
    <t>CONSULTORIAS Y SERV</t>
  </si>
  <si>
    <t>INDEMNIZ. POR RETIRO VOL.</t>
  </si>
  <si>
    <t>INDEMNIZ. ESPECIALES</t>
  </si>
  <si>
    <t>INTERESES SOBRE OBLIGACIONES.</t>
  </si>
  <si>
    <t>CRED.REC.POR REPUESTOS</t>
  </si>
  <si>
    <t>CR. REC.TRASNF. EXTERIOR</t>
  </si>
  <si>
    <t>MAQ. Y EQUIPO ACUEDUCTOS Y RIEGO</t>
  </si>
  <si>
    <t>Maq. Y Equipo Industrial</t>
  </si>
  <si>
    <t>Maq. Y Equipo de Talleres y Almacenes</t>
  </si>
  <si>
    <t>094</t>
  </si>
  <si>
    <t>CRED. REC. GASTOS E REPRES.</t>
  </si>
  <si>
    <t>CR.RECONOCIDO POR MAQ. Y EQ.</t>
  </si>
  <si>
    <t>INTERESES SOBRE PRESTAMOS DIREC.</t>
  </si>
  <si>
    <t>MAT. Y EQUIPO DE SEGURIDAD</t>
  </si>
  <si>
    <t>SERV. TRANSMISIÓN DE DATOS</t>
  </si>
  <si>
    <t>MAQ. Y EQUIPO DE ENERGIA</t>
  </si>
  <si>
    <t>004</t>
  </si>
  <si>
    <t>PERSONAL TRANSITORIO</t>
  </si>
  <si>
    <t>CONSTRUCCIONES POR CONTRATO</t>
  </si>
  <si>
    <t>EDIFICACIONES</t>
  </si>
  <si>
    <t>EDIFICIOS PARA EDUCACION</t>
  </si>
  <si>
    <t>VIAS DE COMUNICACIÓN</t>
  </si>
  <si>
    <t>TOTAL INVERSION</t>
  </si>
  <si>
    <t>OTROS MATERIALES</t>
  </si>
  <si>
    <t>MANT. Y REPARACIÓN MAQ. Y EQUIPO</t>
  </si>
  <si>
    <t>PRODUCTOS DE PAPEL Y CARTON</t>
  </si>
  <si>
    <t>PINTURAS, COLORANTES Y TINTES</t>
  </si>
  <si>
    <t>MATERIALES Y SUMINISTROS COMPUT.</t>
  </si>
  <si>
    <t>MAQUINARIA Y EQUIPO DE TRANSPORTE</t>
  </si>
  <si>
    <t>UNIVERSIDAD TECNOLÓGICA DE PANAMÁ</t>
  </si>
  <si>
    <t>BECAS DE ESTUDIOS</t>
  </si>
  <si>
    <t>ADIESTRAMIENTO Y ESTUDIOS</t>
  </si>
  <si>
    <t>MAQ. Y EQ. DE COMPUTACION</t>
  </si>
  <si>
    <t>CR. REC. BECAS DE ESTUDIO</t>
  </si>
  <si>
    <t>CD.REC. TEXTILES Y VESTUARIOS</t>
  </si>
  <si>
    <t>CD.REC.POR MATERIALES CONST.</t>
  </si>
  <si>
    <t>EQUIIPO MEDICO, LABORATORIOS</t>
  </si>
  <si>
    <t>INDEMNIZACIONES LABORALES</t>
  </si>
  <si>
    <t>DECIMO TERCER MES</t>
  </si>
  <si>
    <t>CONTRIBUCIÓN SEG. SOCIAL</t>
  </si>
  <si>
    <t>CUOTA PATRONAL SEG.EDUCATIVO</t>
  </si>
  <si>
    <t>RIESGO PROFESIONALES</t>
  </si>
  <si>
    <t>FONDO COMPLEMENTARIO</t>
  </si>
  <si>
    <t>081</t>
  </si>
  <si>
    <t>082</t>
  </si>
  <si>
    <t>089</t>
  </si>
  <si>
    <t>GRATIFICACIÓN O AGUINALDO</t>
  </si>
  <si>
    <t>INCENTIVOS</t>
  </si>
  <si>
    <t>OTROS SERVICIOS PERSONALES</t>
  </si>
  <si>
    <t>CUOTA PATRONAL DE SEGURO SOCIAL</t>
  </si>
  <si>
    <t>MANT. Y REPARACIÓN DE OBRAS</t>
  </si>
  <si>
    <t>UTILES E LABORATORIO</t>
  </si>
  <si>
    <t>MAQ. Y EQUIPO DE CONSTRUCCIÓN</t>
  </si>
  <si>
    <t>TRANSF.CORRIENTES A INSTITUCIONES PRIVADAS</t>
  </si>
  <si>
    <t>SUBSIDIOS CULTURALES Y CIENTIFICOS</t>
  </si>
  <si>
    <t>SERVICIOS COMERCIALES</t>
  </si>
  <si>
    <t>CREDITOS REC. POR MAQUINARIA Y EQUIPO</t>
  </si>
  <si>
    <t>098</t>
  </si>
  <si>
    <t>CRED REC. POR SERVICIOS ESP.</t>
  </si>
  <si>
    <t>SERVICIOS DE TELEFONÍA CELULAR</t>
  </si>
  <si>
    <t>CR.REC.PROD. QUIMICOS Y CONEXOS</t>
  </si>
  <si>
    <t>TRANSPORTE DE BIENES</t>
  </si>
  <si>
    <t>MATERIALES PARA CONSTRUCCION Y MANTO.</t>
  </si>
  <si>
    <t>Mal. Y EQUIPO DE ACUEDUTOS Y RIEGO</t>
  </si>
  <si>
    <t>Mal. Y EQUIPO DE TALLERES Y ALMACENES</t>
  </si>
  <si>
    <t>MATERIAL METÁLICO</t>
  </si>
  <si>
    <t>MATERIALES Y EQUIPO DE SEGURIDAD PÚBLICA</t>
  </si>
  <si>
    <t>UTILES Y MATERIALES DE OFICINA</t>
  </si>
  <si>
    <t>MAQUINARIA Y EQUIPO INDUSTRIAL</t>
  </si>
  <si>
    <t>MAT. Y SUMINISTROS DE COMP.</t>
  </si>
  <si>
    <t>MATERIAL DE PLOMERIA</t>
  </si>
  <si>
    <t>Mal Y EQUIPO DE ENERGIA</t>
  </si>
  <si>
    <t>ALIMENTO PARA ANIMALES</t>
  </si>
  <si>
    <t>INVERSIÓN FINANCIERA</t>
  </si>
  <si>
    <t>ADQUISICIÓN DE INMUEBLES</t>
  </si>
  <si>
    <t>reserva</t>
  </si>
  <si>
    <t>COMPROMISO</t>
  </si>
  <si>
    <t>RESERVA Y COMPROMISO</t>
  </si>
  <si>
    <t>OBJETO DE GASTO</t>
  </si>
  <si>
    <t xml:space="preserve">SALDO </t>
  </si>
  <si>
    <t xml:space="preserve">   EJECUCION PRESUPUESTARIA  DE FUNCIONAMIENTO </t>
  </si>
  <si>
    <t xml:space="preserve"> EJECUCION PRESUPUESTARIA  DE FUNCIONAMIENTO </t>
  </si>
  <si>
    <t>CUADRO A-6 NIVEL DE OBJETO DE GASTO :AL 30 DE SEPTIEMBRE DE 2019</t>
  </si>
  <si>
    <t>OBRAS URBANICAS</t>
  </si>
  <si>
    <t>MONUMENTOS</t>
  </si>
  <si>
    <t>PIEDRAS Y ARENA</t>
  </si>
  <si>
    <t>OTROA MANTENIMIENTOS Y REPARACIÓN</t>
  </si>
  <si>
    <t xml:space="preserve"> NIVEL DE OBJETO DE GASTO :AL 30 DE NOVIEMBRE DE 2019</t>
  </si>
  <si>
    <t xml:space="preserve">      A NIVEL DE OBJETO DE GASTO :AL 30 DE NOVIEMBRE DE 2019</t>
  </si>
  <si>
    <t>OTROS UTILES Y MATERIALES</t>
  </si>
  <si>
    <t>AL 30 DE NOVIEMBRE DE 2019</t>
  </si>
  <si>
    <t>TRANSFERENCIAS CORR.</t>
  </si>
  <si>
    <t xml:space="preserve">  EJECUCION DE INGRESOS SEGÚN OBJETO</t>
  </si>
  <si>
    <t xml:space="preserve">EJECUCION PRESUPUESTARIA  DE FUNCIONAMIENTO </t>
  </si>
  <si>
    <t xml:space="preserve">. EJECUCION PRESUPUESTARIA  DE FUNCIONAMIENTO </t>
  </si>
  <si>
    <t xml:space="preserve"> EJECUCION PRESUPUESTARIA  DE INVERSIONES</t>
  </si>
  <si>
    <t>UNIVERSIDAD TECNOLÓGICVA DE PANAMÁ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</si>
</sst>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€]#,##0.00\ ;[$€]\(#,##0.00\);[$€]\-#\ ;@\ "/>
    <numFmt numFmtId="165" formatCode="#,##0\ ;\(#,##0\)"/>
    <numFmt numFmtId="166" formatCode="0.0"/>
    <numFmt numFmtId="167" formatCode="0.00\ "/>
    <numFmt numFmtId="168" formatCode="#,##0\ ;[Red]\-#,##0\ "/>
    <numFmt numFmtId="169" formatCode="0.00\ ;[Red]\-0.00\ "/>
  </numFmts>
  <fonts count="53" x14ac:knownFonts="1">
    <font>
      <sz val="10"/>
      <name val="Arial"/>
      <family val="2"/>
    </font>
    <font>
      <b/>
      <sz val="7"/>
      <color indexed="18"/>
      <name val="Arial"/>
      <family val="2"/>
    </font>
    <font>
      <sz val="7"/>
      <color indexed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sz val="10"/>
      <color indexed="18"/>
      <name val="Arial"/>
      <family val="2"/>
    </font>
    <font>
      <sz val="11"/>
      <name val="Arial"/>
      <family val="2"/>
    </font>
    <font>
      <sz val="9"/>
      <color indexed="18"/>
      <name val="Arial"/>
      <family val="2"/>
    </font>
    <font>
      <b/>
      <sz val="9"/>
      <color indexed="1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18"/>
      <name val="Franklin Gothic Book"/>
      <family val="2"/>
    </font>
    <font>
      <sz val="7"/>
      <name val="Arial"/>
      <family val="2"/>
    </font>
    <font>
      <sz val="10"/>
      <name val="Arial"/>
      <family val="2"/>
    </font>
    <font>
      <sz val="10"/>
      <name val="Franklin Gothic Book"/>
      <family val="2"/>
    </font>
    <font>
      <b/>
      <sz val="8"/>
      <name val="Franklin Gothic Book"/>
      <family val="2"/>
    </font>
    <font>
      <b/>
      <sz val="8"/>
      <color rgb="FF0000FF"/>
      <name val="Arial"/>
      <family val="2"/>
    </font>
    <font>
      <b/>
      <sz val="10"/>
      <color theme="4" tint="-0.499984740745262"/>
      <name val="Arial"/>
      <family val="2"/>
    </font>
    <font>
      <b/>
      <sz val="12"/>
      <color rgb="FF062948"/>
      <name val="Georgia"/>
      <family val="1"/>
    </font>
    <font>
      <sz val="10"/>
      <color rgb="FF062948"/>
      <name val="Arial"/>
      <family val="2"/>
    </font>
    <font>
      <b/>
      <sz val="10"/>
      <color rgb="FF062948"/>
      <name val="Arial"/>
      <family val="2"/>
    </font>
    <font>
      <b/>
      <sz val="9"/>
      <color rgb="FF062948"/>
      <name val="Arial"/>
      <family val="2"/>
    </font>
    <font>
      <b/>
      <sz val="8"/>
      <color rgb="FF062948"/>
      <name val="Arial"/>
      <family val="2"/>
    </font>
    <font>
      <sz val="9"/>
      <color rgb="FF062948"/>
      <name val="Arial"/>
      <family val="2"/>
    </font>
    <font>
      <sz val="8"/>
      <color rgb="FF062948"/>
      <name val="Arial"/>
      <family val="2"/>
    </font>
    <font>
      <sz val="11"/>
      <color rgb="FF062948"/>
      <name val="Arial"/>
      <family val="2"/>
    </font>
    <font>
      <b/>
      <sz val="12"/>
      <color rgb="FF062948"/>
      <name val="Times New Roman"/>
      <family val="1"/>
    </font>
    <font>
      <b/>
      <sz val="9"/>
      <color rgb="FF062948"/>
      <name val="Book Antiqua"/>
      <family val="1"/>
    </font>
    <font>
      <b/>
      <sz val="11"/>
      <color rgb="FF062948"/>
      <name val="Book Antiqua"/>
      <family val="1"/>
    </font>
    <font>
      <b/>
      <sz val="10"/>
      <color rgb="FF062948"/>
      <name val="Book Antiqua"/>
      <family val="1"/>
    </font>
    <font>
      <b/>
      <sz val="10"/>
      <color rgb="FF062948"/>
      <name val="Lucida Fax"/>
      <family val="1"/>
    </font>
    <font>
      <sz val="10"/>
      <color rgb="FF002060"/>
      <name val="Arial"/>
      <family val="2"/>
    </font>
    <font>
      <sz val="8"/>
      <color rgb="FF002060"/>
      <name val="Arial"/>
      <family val="2"/>
    </font>
    <font>
      <b/>
      <sz val="9"/>
      <color rgb="FF002060"/>
      <name val="Georgia"/>
      <family val="1"/>
    </font>
    <font>
      <sz val="9"/>
      <color rgb="FF002060"/>
      <name val="Arial"/>
      <family val="2"/>
    </font>
    <font>
      <b/>
      <sz val="9"/>
      <color rgb="FF002060"/>
      <name val="Bookman Old Style"/>
      <family val="1"/>
    </font>
    <font>
      <sz val="9"/>
      <color rgb="FF002060"/>
      <name val="Bookman Old Style"/>
      <family val="1"/>
    </font>
    <font>
      <sz val="8"/>
      <color rgb="FF002060"/>
      <name val="Bookman Old Style"/>
      <family val="1"/>
    </font>
    <font>
      <sz val="7"/>
      <color rgb="FF002060"/>
      <name val="Bookman Old Style"/>
      <family val="1"/>
    </font>
    <font>
      <b/>
      <sz val="7"/>
      <color rgb="FF002060"/>
      <name val="Bookman Old Style"/>
      <family val="1"/>
    </font>
    <font>
      <b/>
      <sz val="11"/>
      <color rgb="FF002060"/>
      <name val="Arial"/>
      <family val="2"/>
    </font>
    <font>
      <b/>
      <sz val="9"/>
      <color theme="4" tint="-0.499984740745262"/>
      <name val="Georgia"/>
      <family val="1"/>
    </font>
    <font>
      <sz val="9"/>
      <color theme="4" tint="-0.499984740745262"/>
      <name val="Arial"/>
      <family val="2"/>
    </font>
    <font>
      <b/>
      <sz val="9"/>
      <color theme="4" tint="-0.499984740745262"/>
      <name val="Arial"/>
      <family val="2"/>
    </font>
    <font>
      <b/>
      <sz val="7"/>
      <color theme="4" tint="-0.499984740745262"/>
      <name val="Arial"/>
      <family val="2"/>
    </font>
    <font>
      <b/>
      <sz val="9"/>
      <color theme="4" tint="-0.499984740745262"/>
      <name val="Franklin Gothic Book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FF0000"/>
      <name val="Arial"/>
      <family val="2"/>
    </font>
    <font>
      <b/>
      <sz val="10"/>
      <color theme="3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31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31"/>
      </patternFill>
    </fill>
    <fill>
      <patternFill patternType="solid">
        <fgColor theme="4" tint="0.59999389629810485"/>
        <bgColor indexed="64"/>
      </patternFill>
    </fill>
  </fills>
  <borders count="71">
    <border>
      <left/>
      <right/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/>
      <right/>
      <top/>
      <bottom style="thin">
        <color indexed="62"/>
      </bottom>
      <diagonal/>
    </border>
    <border>
      <left/>
      <right style="thin">
        <color indexed="62"/>
      </right>
      <top/>
      <bottom/>
      <diagonal/>
    </border>
    <border>
      <left style="thin">
        <color indexed="62"/>
      </left>
      <right style="thin">
        <color indexed="62"/>
      </right>
      <top/>
      <bottom/>
      <diagonal/>
    </border>
    <border>
      <left style="thin">
        <color indexed="62"/>
      </left>
      <right style="thin">
        <color indexed="62"/>
      </right>
      <top/>
      <bottom style="thin">
        <color indexed="62"/>
      </bottom>
      <diagonal/>
    </border>
    <border>
      <left/>
      <right/>
      <top style="double">
        <color indexed="1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2"/>
      </left>
      <right style="thin">
        <color indexed="64"/>
      </right>
      <top/>
      <bottom/>
      <diagonal/>
    </border>
    <border>
      <left/>
      <right/>
      <top/>
      <bottom style="hair">
        <color indexed="62"/>
      </bottom>
      <diagonal/>
    </border>
    <border>
      <left style="thin">
        <color indexed="62"/>
      </left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2"/>
      </left>
      <right style="thin">
        <color indexed="62"/>
      </right>
      <top/>
      <bottom style="thin">
        <color indexed="64"/>
      </bottom>
      <diagonal/>
    </border>
    <border>
      <left style="thin">
        <color indexed="64"/>
      </left>
      <right style="thin">
        <color indexed="62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2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2"/>
      </top>
      <bottom/>
      <diagonal/>
    </border>
    <border>
      <left/>
      <right/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indexed="62"/>
      </bottom>
      <diagonal/>
    </border>
    <border>
      <left style="thin">
        <color theme="3" tint="-0.499984740745262"/>
      </left>
      <right style="thin">
        <color theme="3" tint="-0.499984740745262"/>
      </right>
      <top/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indexed="62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/>
      <bottom/>
      <diagonal/>
    </border>
    <border>
      <left style="thin">
        <color theme="3" tint="-0.499984740745262"/>
      </left>
      <right style="thin">
        <color theme="3" tint="-0.499984740745262"/>
      </right>
      <top/>
      <bottom style="thin">
        <color indexed="62"/>
      </bottom>
      <diagonal/>
    </border>
    <border>
      <left style="thin">
        <color theme="3" tint="-0.499984740745262"/>
      </left>
      <right style="thin">
        <color theme="3" tint="-0.499984740745262"/>
      </right>
      <top/>
      <bottom style="thin">
        <color indexed="64"/>
      </bottom>
      <diagonal/>
    </border>
    <border>
      <left/>
      <right/>
      <top/>
      <bottom style="thin">
        <color theme="3" tint="-0.499984740745262"/>
      </bottom>
      <diagonal/>
    </border>
    <border>
      <left/>
      <right style="thin">
        <color theme="3" tint="-0.499984740745262"/>
      </right>
      <top/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indexed="62"/>
      </top>
      <bottom/>
      <diagonal/>
    </border>
    <border>
      <left/>
      <right/>
      <top style="thin">
        <color indexed="62"/>
      </top>
      <bottom style="thin">
        <color theme="3" tint="-0.499984740745262"/>
      </bottom>
      <diagonal/>
    </border>
    <border>
      <left/>
      <right/>
      <top style="thin">
        <color theme="3" tint="-0.499984740745262"/>
      </top>
      <bottom style="thin">
        <color indexed="62"/>
      </bottom>
      <diagonal/>
    </border>
    <border>
      <left style="thin">
        <color theme="3" tint="-0.499984740745262"/>
      </left>
      <right style="thin">
        <color theme="3" tint="-0.499984740745262"/>
      </right>
      <top/>
      <bottom style="hair">
        <color indexed="62"/>
      </bottom>
      <diagonal/>
    </border>
    <border>
      <left style="thin">
        <color theme="3" tint="-0.499984740745262"/>
      </left>
      <right style="thin">
        <color theme="3" tint="-0.499984740745262"/>
      </right>
      <top/>
      <bottom style="hair">
        <color indexed="8"/>
      </bottom>
      <diagonal/>
    </border>
    <border>
      <left style="thin">
        <color theme="3" tint="-0.499984740745262"/>
      </left>
      <right style="thin">
        <color theme="3" tint="-0.499984740745262"/>
      </right>
      <top/>
      <bottom style="hair">
        <color theme="3" tint="-0.499984740745262"/>
      </bottom>
      <diagonal/>
    </border>
    <border>
      <left/>
      <right/>
      <top/>
      <bottom style="hair">
        <color theme="3" tint="-0.499984740745262"/>
      </bottom>
      <diagonal/>
    </border>
    <border>
      <left style="thin">
        <color theme="3" tint="-0.499984740745262"/>
      </left>
      <right/>
      <top/>
      <bottom style="thin">
        <color indexed="62"/>
      </bottom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thin">
        <color rgb="FF002060"/>
      </left>
      <right/>
      <top/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indexed="62"/>
      </top>
      <bottom style="thin">
        <color indexed="62"/>
      </bottom>
      <diagonal/>
    </border>
    <border>
      <left style="thin">
        <color theme="3" tint="-0.4999847407452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theme="3" tint="-0.499984740745262"/>
      </left>
      <right style="thin">
        <color indexed="62"/>
      </right>
      <top style="thin">
        <color indexed="62"/>
      </top>
      <bottom/>
      <diagonal/>
    </border>
    <border>
      <left style="thin">
        <color theme="3" tint="-0.499984740745262"/>
      </left>
      <right style="thin">
        <color indexed="62"/>
      </right>
      <top/>
      <bottom/>
      <diagonal/>
    </border>
    <border>
      <left style="thin">
        <color theme="3" tint="-0.499984740745262"/>
      </left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/>
      <diagonal/>
    </border>
    <border>
      <left/>
      <right style="thin">
        <color indexed="62"/>
      </right>
      <top/>
      <bottom style="thin">
        <color indexed="64"/>
      </bottom>
      <diagonal/>
    </border>
    <border>
      <left style="thin">
        <color theme="3" tint="-0.499984740745262"/>
      </left>
      <right style="thin">
        <color indexed="64"/>
      </right>
      <top/>
      <bottom/>
      <diagonal/>
    </border>
    <border>
      <left style="thin">
        <color theme="3" tint="-0.499984740745262"/>
      </left>
      <right style="thin">
        <color indexed="64"/>
      </right>
      <top/>
      <bottom style="thin">
        <color theme="3" tint="-0.499984740745262"/>
      </bottom>
      <diagonal/>
    </border>
    <border>
      <left style="thin">
        <color indexed="64"/>
      </left>
      <right style="thin">
        <color theme="3" tint="-0.499984740745262"/>
      </right>
      <top style="thin">
        <color indexed="62"/>
      </top>
      <bottom style="thin">
        <color indexed="62"/>
      </bottom>
      <diagonal/>
    </border>
    <border>
      <left style="thin">
        <color indexed="64"/>
      </left>
      <right style="thin">
        <color theme="3" tint="-0.499984740745262"/>
      </right>
      <top/>
      <bottom/>
      <diagonal/>
    </border>
    <border>
      <left style="thin">
        <color indexed="64"/>
      </left>
      <right style="thin">
        <color theme="3" tint="-0.499984740745262"/>
      </right>
      <top/>
      <bottom style="thin">
        <color theme="3" tint="-0.499984740745262"/>
      </bottom>
      <diagonal/>
    </border>
    <border>
      <left style="thin">
        <color indexed="62"/>
      </left>
      <right style="thin">
        <color indexed="62"/>
      </right>
      <top/>
      <bottom/>
      <diagonal/>
    </border>
    <border>
      <left style="thin">
        <color rgb="FF002060"/>
      </left>
      <right style="thin">
        <color indexed="62"/>
      </right>
      <top/>
      <bottom/>
      <diagonal/>
    </border>
    <border>
      <left style="thin">
        <color theme="3" tint="-0.499984740745262"/>
      </left>
      <right style="thin">
        <color indexed="62"/>
      </right>
      <top/>
      <bottom style="thin">
        <color indexed="62"/>
      </bottom>
      <diagonal/>
    </border>
    <border>
      <left style="thin">
        <color theme="3" tint="-0.499984740745262"/>
      </left>
      <right/>
      <top style="thin">
        <color indexed="62"/>
      </top>
      <bottom/>
      <diagonal/>
    </border>
    <border>
      <left/>
      <right style="thin">
        <color theme="3" tint="-0.499984740745262"/>
      </right>
      <top style="thin">
        <color indexed="62"/>
      </top>
      <bottom/>
      <diagonal/>
    </border>
    <border>
      <left/>
      <right style="thin">
        <color theme="3" tint="-0.499984740745262"/>
      </right>
      <top/>
      <bottom style="thin">
        <color indexed="62"/>
      </bottom>
      <diagonal/>
    </border>
    <border>
      <left/>
      <right/>
      <top style="thin">
        <color indexed="62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2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2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2"/>
      </left>
      <right style="thin">
        <color theme="3" tint="-0.499984740745262"/>
      </right>
      <top/>
      <bottom style="thin">
        <color indexed="62"/>
      </bottom>
      <diagonal/>
    </border>
    <border>
      <left style="thin">
        <color indexed="62"/>
      </left>
      <right/>
      <top/>
      <bottom/>
      <diagonal/>
    </border>
    <border>
      <left style="thin">
        <color indexed="62"/>
      </left>
      <right/>
      <top style="thin">
        <color indexed="62"/>
      </top>
      <bottom/>
      <diagonal/>
    </border>
    <border>
      <left style="thin">
        <color indexed="62"/>
      </left>
      <right/>
      <top/>
      <bottom style="thin">
        <color indexed="62"/>
      </bottom>
      <diagonal/>
    </border>
    <border>
      <left/>
      <right style="thin">
        <color indexed="62"/>
      </right>
      <top/>
      <bottom style="thin">
        <color indexed="62"/>
      </bottom>
      <diagonal/>
    </border>
  </borders>
  <cellStyleXfs count="2">
    <xf numFmtId="0" fontId="0" fillId="0" borderId="0"/>
    <xf numFmtId="164" fontId="16" fillId="0" borderId="0" applyFill="0" applyBorder="0" applyAlignment="0" applyProtection="0"/>
  </cellStyleXfs>
  <cellXfs count="331">
    <xf numFmtId="0" fontId="0" fillId="0" borderId="0" xfId="0"/>
    <xf numFmtId="3" fontId="0" fillId="0" borderId="0" xfId="0" applyNumberFormat="1"/>
    <xf numFmtId="0" fontId="2" fillId="0" borderId="0" xfId="0" applyFont="1" applyBorder="1"/>
    <xf numFmtId="0" fontId="0" fillId="0" borderId="0" xfId="0" applyBorder="1"/>
    <xf numFmtId="0" fontId="7" fillId="0" borderId="0" xfId="0" applyFont="1" applyBorder="1"/>
    <xf numFmtId="0" fontId="0" fillId="0" borderId="0" xfId="0" applyFont="1" applyBorder="1"/>
    <xf numFmtId="0" fontId="7" fillId="0" borderId="0" xfId="0" applyFont="1"/>
    <xf numFmtId="0" fontId="11" fillId="0" borderId="0" xfId="0" applyFont="1"/>
    <xf numFmtId="0" fontId="0" fillId="0" borderId="0" xfId="0" applyAlignment="1">
      <alignment horizontal="center"/>
    </xf>
    <xf numFmtId="0" fontId="8" fillId="0" borderId="0" xfId="0" applyFont="1"/>
    <xf numFmtId="3" fontId="3" fillId="0" borderId="0" xfId="0" applyNumberFormat="1" applyFont="1" applyBorder="1" applyAlignment="1">
      <alignment horizontal="center"/>
    </xf>
    <xf numFmtId="3" fontId="13" fillId="0" borderId="0" xfId="0" applyNumberFormat="1" applyFont="1" applyFill="1" applyBorder="1" applyProtection="1"/>
    <xf numFmtId="3" fontId="10" fillId="0" borderId="0" xfId="0" applyNumberFormat="1" applyFont="1" applyFill="1" applyBorder="1" applyProtection="1"/>
    <xf numFmtId="4" fontId="13" fillId="0" borderId="0" xfId="0" applyNumberFormat="1" applyFont="1" applyFill="1" applyBorder="1" applyProtection="1"/>
    <xf numFmtId="167" fontId="9" fillId="0" borderId="0" xfId="0" applyNumberFormat="1" applyFont="1" applyBorder="1" applyAlignment="1" applyProtection="1">
      <alignment horizontal="left"/>
    </xf>
    <xf numFmtId="167" fontId="1" fillId="0" borderId="0" xfId="0" applyNumberFormat="1" applyFont="1" applyBorder="1" applyAlignment="1" applyProtection="1">
      <alignment horizontal="left"/>
    </xf>
    <xf numFmtId="168" fontId="10" fillId="0" borderId="0" xfId="0" applyNumberFormat="1" applyFont="1" applyFill="1" applyBorder="1" applyProtection="1"/>
    <xf numFmtId="0" fontId="15" fillId="0" borderId="0" xfId="0" applyFont="1"/>
    <xf numFmtId="49" fontId="9" fillId="0" borderId="0" xfId="0" applyNumberFormat="1" applyFont="1" applyBorder="1" applyAlignment="1" applyProtection="1">
      <alignment horizontal="left"/>
    </xf>
    <xf numFmtId="3" fontId="10" fillId="0" borderId="6" xfId="0" applyNumberFormat="1" applyFont="1" applyFill="1" applyBorder="1" applyProtection="1"/>
    <xf numFmtId="168" fontId="6" fillId="0" borderId="0" xfId="0" applyNumberFormat="1" applyFont="1" applyBorder="1" applyAlignment="1">
      <alignment horizontal="center"/>
    </xf>
    <xf numFmtId="0" fontId="2" fillId="0" borderId="0" xfId="0" applyFont="1"/>
    <xf numFmtId="3" fontId="6" fillId="0" borderId="0" xfId="0" applyNumberFormat="1" applyFont="1" applyBorder="1" applyAlignment="1">
      <alignment horizontal="center"/>
    </xf>
    <xf numFmtId="4" fontId="12" fillId="0" borderId="0" xfId="0" applyNumberFormat="1" applyFont="1" applyFill="1" applyBorder="1" applyProtection="1"/>
    <xf numFmtId="4" fontId="12" fillId="0" borderId="7" xfId="0" applyNumberFormat="1" applyFont="1" applyFill="1" applyBorder="1" applyProtection="1"/>
    <xf numFmtId="0" fontId="17" fillId="0" borderId="0" xfId="0" applyFont="1"/>
    <xf numFmtId="3" fontId="14" fillId="0" borderId="0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 horizontal="center"/>
    </xf>
    <xf numFmtId="3" fontId="5" fillId="0" borderId="0" xfId="0" applyNumberFormat="1" applyFont="1" applyFill="1" applyBorder="1" applyProtection="1"/>
    <xf numFmtId="3" fontId="7" fillId="0" borderId="0" xfId="0" applyNumberFormat="1" applyFont="1"/>
    <xf numFmtId="3" fontId="0" fillId="0" borderId="0" xfId="0" applyNumberFormat="1" applyBorder="1"/>
    <xf numFmtId="0" fontId="19" fillId="3" borderId="0" xfId="0" applyFont="1" applyFill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0" fontId="20" fillId="0" borderId="0" xfId="0" applyFont="1"/>
    <xf numFmtId="0" fontId="22" fillId="0" borderId="0" xfId="0" applyFont="1"/>
    <xf numFmtId="0" fontId="22" fillId="0" borderId="0" xfId="0" applyFont="1" applyBorder="1" applyAlignment="1">
      <alignment horizontal="center"/>
    </xf>
    <xf numFmtId="0" fontId="22" fillId="0" borderId="0" xfId="0" applyFont="1" applyBorder="1"/>
    <xf numFmtId="0" fontId="28" fillId="0" borderId="0" xfId="0" applyFont="1" applyBorder="1"/>
    <xf numFmtId="0" fontId="22" fillId="0" borderId="25" xfId="0" applyFont="1" applyBorder="1"/>
    <xf numFmtId="0" fontId="23" fillId="0" borderId="25" xfId="0" applyFont="1" applyBorder="1" applyAlignment="1">
      <alignment horizontal="center"/>
    </xf>
    <xf numFmtId="3" fontId="23" fillId="0" borderId="25" xfId="0" applyNumberFormat="1" applyFont="1" applyBorder="1"/>
    <xf numFmtId="3" fontId="22" fillId="0" borderId="25" xfId="0" applyNumberFormat="1" applyFont="1" applyBorder="1"/>
    <xf numFmtId="165" fontId="22" fillId="0" borderId="25" xfId="0" applyNumberFormat="1" applyFont="1" applyBorder="1"/>
    <xf numFmtId="37" fontId="22" fillId="0" borderId="25" xfId="0" applyNumberFormat="1" applyFont="1" applyBorder="1"/>
    <xf numFmtId="165" fontId="23" fillId="0" borderId="25" xfId="0" applyNumberFormat="1" applyFont="1" applyBorder="1"/>
    <xf numFmtId="0" fontId="23" fillId="0" borderId="0" xfId="0" applyFont="1" applyBorder="1" applyAlignment="1">
      <alignment horizontal="left"/>
    </xf>
    <xf numFmtId="0" fontId="29" fillId="0" borderId="0" xfId="0" applyFont="1" applyBorder="1" applyAlignment="1">
      <alignment horizontal="center"/>
    </xf>
    <xf numFmtId="166" fontId="23" fillId="0" borderId="9" xfId="0" applyNumberFormat="1" applyFont="1" applyBorder="1"/>
    <xf numFmtId="166" fontId="22" fillId="0" borderId="0" xfId="0" applyNumberFormat="1" applyFont="1" applyBorder="1"/>
    <xf numFmtId="166" fontId="23" fillId="0" borderId="0" xfId="0" applyNumberFormat="1" applyFont="1" applyBorder="1"/>
    <xf numFmtId="0" fontId="24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7" fillId="0" borderId="0" xfId="0" applyFont="1" applyBorder="1"/>
    <xf numFmtId="0" fontId="3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 wrapText="1"/>
    </xf>
    <xf numFmtId="0" fontId="26" fillId="0" borderId="0" xfId="0" applyFont="1" applyBorder="1"/>
    <xf numFmtId="0" fontId="24" fillId="0" borderId="25" xfId="0" applyFont="1" applyBorder="1" applyAlignment="1"/>
    <xf numFmtId="0" fontId="24" fillId="0" borderId="25" xfId="0" applyFont="1" applyBorder="1" applyAlignment="1">
      <alignment horizontal="left"/>
    </xf>
    <xf numFmtId="0" fontId="24" fillId="0" borderId="25" xfId="0" applyFont="1" applyBorder="1" applyAlignment="1">
      <alignment horizontal="center"/>
    </xf>
    <xf numFmtId="0" fontId="26" fillId="0" borderId="25" xfId="0" applyFont="1" applyBorder="1"/>
    <xf numFmtId="3" fontId="23" fillId="0" borderId="33" xfId="0" applyNumberFormat="1" applyFont="1" applyBorder="1"/>
    <xf numFmtId="165" fontId="23" fillId="0" borderId="25" xfId="0" applyNumberFormat="1" applyFont="1" applyBorder="1" applyAlignment="1">
      <alignment horizontal="right"/>
    </xf>
    <xf numFmtId="165" fontId="22" fillId="0" borderId="25" xfId="0" applyNumberFormat="1" applyFont="1" applyBorder="1" applyAlignment="1">
      <alignment horizontal="right"/>
    </xf>
    <xf numFmtId="165" fontId="22" fillId="0" borderId="25" xfId="0" applyNumberFormat="1" applyFont="1" applyBorder="1" applyAlignment="1"/>
    <xf numFmtId="3" fontId="22" fillId="0" borderId="25" xfId="0" applyNumberFormat="1" applyFont="1" applyBorder="1" applyAlignment="1">
      <alignment horizontal="right"/>
    </xf>
    <xf numFmtId="0" fontId="22" fillId="0" borderId="25" xfId="0" applyFont="1" applyBorder="1" applyAlignment="1">
      <alignment horizontal="center"/>
    </xf>
    <xf numFmtId="165" fontId="23" fillId="0" borderId="34" xfId="0" applyNumberFormat="1" applyFont="1" applyBorder="1" applyAlignment="1">
      <alignment horizontal="right"/>
    </xf>
    <xf numFmtId="3" fontId="22" fillId="2" borderId="25" xfId="0" applyNumberFormat="1" applyFont="1" applyFill="1" applyBorder="1"/>
    <xf numFmtId="3" fontId="23" fillId="2" borderId="25" xfId="0" applyNumberFormat="1" applyFont="1" applyFill="1" applyBorder="1"/>
    <xf numFmtId="0" fontId="22" fillId="0" borderId="28" xfId="0" applyFont="1" applyBorder="1"/>
    <xf numFmtId="0" fontId="23" fillId="0" borderId="22" xfId="0" applyFont="1" applyBorder="1" applyAlignment="1">
      <alignment horizontal="center"/>
    </xf>
    <xf numFmtId="3" fontId="22" fillId="0" borderId="22" xfId="0" applyNumberFormat="1" applyFont="1" applyBorder="1"/>
    <xf numFmtId="37" fontId="22" fillId="0" borderId="22" xfId="0" applyNumberFormat="1" applyFont="1" applyBorder="1"/>
    <xf numFmtId="165" fontId="22" fillId="0" borderId="22" xfId="0" applyNumberFormat="1" applyFont="1" applyBorder="1"/>
    <xf numFmtId="166" fontId="22" fillId="0" borderId="28" xfId="0" applyNumberFormat="1" applyFont="1" applyBorder="1"/>
    <xf numFmtId="3" fontId="23" fillId="0" borderId="35" xfId="0" applyNumberFormat="1" applyFont="1" applyBorder="1"/>
    <xf numFmtId="165" fontId="23" fillId="0" borderId="35" xfId="0" applyNumberFormat="1" applyFont="1" applyBorder="1"/>
    <xf numFmtId="165" fontId="23" fillId="0" borderId="35" xfId="0" applyNumberFormat="1" applyFont="1" applyBorder="1" applyAlignment="1">
      <alignment horizontal="right"/>
    </xf>
    <xf numFmtId="166" fontId="23" fillId="0" borderId="36" xfId="0" applyNumberFormat="1" applyFont="1" applyBorder="1"/>
    <xf numFmtId="165" fontId="24" fillId="0" borderId="35" xfId="0" applyNumberFormat="1" applyFont="1" applyBorder="1"/>
    <xf numFmtId="165" fontId="24" fillId="0" borderId="35" xfId="0" applyNumberFormat="1" applyFont="1" applyBorder="1" applyAlignment="1">
      <alignment horizontal="right"/>
    </xf>
    <xf numFmtId="0" fontId="34" fillId="0" borderId="0" xfId="0" applyFont="1"/>
    <xf numFmtId="0" fontId="34" fillId="0" borderId="0" xfId="0" applyFont="1" applyBorder="1"/>
    <xf numFmtId="0" fontId="35" fillId="0" borderId="0" xfId="0" applyFont="1"/>
    <xf numFmtId="0" fontId="37" fillId="0" borderId="0" xfId="0" applyFont="1"/>
    <xf numFmtId="3" fontId="38" fillId="0" borderId="0" xfId="0" applyNumberFormat="1" applyFont="1" applyBorder="1" applyAlignment="1" applyProtection="1">
      <alignment horizontal="left"/>
    </xf>
    <xf numFmtId="3" fontId="38" fillId="0" borderId="4" xfId="0" applyNumberFormat="1" applyFont="1" applyBorder="1" applyAlignment="1" applyProtection="1">
      <alignment horizontal="left"/>
    </xf>
    <xf numFmtId="3" fontId="38" fillId="0" borderId="4" xfId="0" applyNumberFormat="1" applyFont="1" applyFill="1" applyBorder="1" applyProtection="1"/>
    <xf numFmtId="3" fontId="38" fillId="0" borderId="10" xfId="0" applyNumberFormat="1" applyFont="1" applyFill="1" applyBorder="1" applyProtection="1"/>
    <xf numFmtId="3" fontId="38" fillId="0" borderId="16" xfId="0" applyNumberFormat="1" applyFont="1" applyFill="1" applyBorder="1" applyProtection="1"/>
    <xf numFmtId="3" fontId="38" fillId="0" borderId="17" xfId="0" applyNumberFormat="1" applyFont="1" applyFill="1" applyBorder="1" applyProtection="1"/>
    <xf numFmtId="3" fontId="39" fillId="0" borderId="4" xfId="0" applyNumberFormat="1" applyFont="1" applyBorder="1"/>
    <xf numFmtId="2" fontId="39" fillId="0" borderId="4" xfId="0" applyNumberFormat="1" applyFont="1" applyBorder="1"/>
    <xf numFmtId="3" fontId="39" fillId="0" borderId="0" xfId="0" applyNumberFormat="1" applyFont="1" applyBorder="1" applyAlignment="1" applyProtection="1">
      <alignment horizontal="left"/>
    </xf>
    <xf numFmtId="3" fontId="39" fillId="0" borderId="4" xfId="0" applyNumberFormat="1" applyFont="1" applyBorder="1" applyAlignment="1" applyProtection="1">
      <alignment horizontal="left"/>
    </xf>
    <xf numFmtId="3" fontId="39" fillId="0" borderId="4" xfId="0" applyNumberFormat="1" applyFont="1" applyFill="1" applyBorder="1" applyProtection="1"/>
    <xf numFmtId="3" fontId="39" fillId="0" borderId="4" xfId="0" applyNumberFormat="1" applyFont="1" applyFill="1" applyBorder="1" applyAlignment="1" applyProtection="1"/>
    <xf numFmtId="3" fontId="39" fillId="0" borderId="10" xfId="0" applyNumberFormat="1" applyFont="1" applyFill="1" applyBorder="1" applyProtection="1"/>
    <xf numFmtId="3" fontId="39" fillId="0" borderId="17" xfId="0" applyNumberFormat="1" applyFont="1" applyFill="1" applyBorder="1" applyProtection="1"/>
    <xf numFmtId="3" fontId="38" fillId="0" borderId="4" xfId="0" applyNumberFormat="1" applyFont="1" applyBorder="1"/>
    <xf numFmtId="2" fontId="38" fillId="0" borderId="4" xfId="0" applyNumberFormat="1" applyFont="1" applyBorder="1"/>
    <xf numFmtId="3" fontId="39" fillId="0" borderId="0" xfId="0" applyNumberFormat="1" applyFont="1"/>
    <xf numFmtId="3" fontId="39" fillId="0" borderId="17" xfId="0" applyNumberFormat="1" applyFont="1" applyBorder="1"/>
    <xf numFmtId="3" fontId="38" fillId="0" borderId="0" xfId="0" applyNumberFormat="1" applyFont="1"/>
    <xf numFmtId="3" fontId="38" fillId="0" borderId="17" xfId="0" applyNumberFormat="1" applyFont="1" applyBorder="1"/>
    <xf numFmtId="3" fontId="39" fillId="0" borderId="0" xfId="0" applyNumberFormat="1" applyFont="1" applyFill="1" applyBorder="1" applyAlignment="1" applyProtection="1"/>
    <xf numFmtId="3" fontId="38" fillId="0" borderId="0" xfId="0" applyNumberFormat="1" applyFont="1" applyFill="1" applyBorder="1" applyAlignment="1" applyProtection="1"/>
    <xf numFmtId="3" fontId="38" fillId="0" borderId="4" xfId="0" applyNumberFormat="1" applyFont="1" applyFill="1" applyBorder="1" applyAlignment="1" applyProtection="1"/>
    <xf numFmtId="3" fontId="39" fillId="0" borderId="16" xfId="0" applyNumberFormat="1" applyFont="1" applyBorder="1"/>
    <xf numFmtId="3" fontId="39" fillId="0" borderId="16" xfId="0" applyNumberFormat="1" applyFont="1" applyFill="1" applyBorder="1" applyProtection="1"/>
    <xf numFmtId="3" fontId="39" fillId="0" borderId="0" xfId="0" applyNumberFormat="1" applyFont="1" applyFill="1" applyBorder="1" applyAlignment="1" applyProtection="1">
      <alignment horizontal="left"/>
    </xf>
    <xf numFmtId="3" fontId="40" fillId="0" borderId="0" xfId="0" applyNumberFormat="1" applyFont="1" applyBorder="1" applyAlignment="1" applyProtection="1">
      <alignment horizontal="left"/>
    </xf>
    <xf numFmtId="3" fontId="40" fillId="0" borderId="4" xfId="0" applyNumberFormat="1" applyFont="1" applyBorder="1" applyAlignment="1" applyProtection="1">
      <alignment horizontal="left"/>
    </xf>
    <xf numFmtId="3" fontId="40" fillId="0" borderId="4" xfId="0" applyNumberFormat="1" applyFont="1" applyFill="1" applyBorder="1" applyProtection="1"/>
    <xf numFmtId="3" fontId="40" fillId="0" borderId="0" xfId="0" applyNumberFormat="1" applyFont="1"/>
    <xf numFmtId="3" fontId="40" fillId="0" borderId="4" xfId="0" applyNumberFormat="1" applyFont="1" applyBorder="1"/>
    <xf numFmtId="2" fontId="40" fillId="0" borderId="4" xfId="0" applyNumberFormat="1" applyFont="1" applyBorder="1"/>
    <xf numFmtId="3" fontId="41" fillId="0" borderId="0" xfId="0" applyNumberFormat="1" applyFont="1" applyBorder="1" applyAlignment="1" applyProtection="1">
      <alignment horizontal="left"/>
    </xf>
    <xf numFmtId="3" fontId="41" fillId="0" borderId="4" xfId="0" applyNumberFormat="1" applyFont="1" applyBorder="1" applyAlignment="1" applyProtection="1">
      <alignment horizontal="left"/>
    </xf>
    <xf numFmtId="3" fontId="41" fillId="0" borderId="4" xfId="0" applyNumberFormat="1" applyFont="1" applyFill="1" applyBorder="1" applyProtection="1"/>
    <xf numFmtId="3" fontId="41" fillId="0" borderId="0" xfId="0" applyNumberFormat="1" applyFont="1"/>
    <xf numFmtId="3" fontId="41" fillId="0" borderId="4" xfId="0" applyNumberFormat="1" applyFont="1" applyBorder="1"/>
    <xf numFmtId="2" fontId="41" fillId="0" borderId="4" xfId="0" applyNumberFormat="1" applyFont="1" applyBorder="1"/>
    <xf numFmtId="0" fontId="34" fillId="4" borderId="0" xfId="0" applyFont="1" applyFill="1"/>
    <xf numFmtId="1" fontId="39" fillId="0" borderId="4" xfId="0" applyNumberFormat="1" applyFont="1" applyBorder="1"/>
    <xf numFmtId="3" fontId="39" fillId="0" borderId="1" xfId="0" applyNumberFormat="1" applyFont="1" applyBorder="1" applyAlignment="1" applyProtection="1">
      <alignment horizontal="left"/>
    </xf>
    <xf numFmtId="3" fontId="39" fillId="0" borderId="1" xfId="0" applyNumberFormat="1" applyFont="1" applyFill="1" applyBorder="1" applyProtection="1"/>
    <xf numFmtId="3" fontId="39" fillId="0" borderId="4" xfId="0" applyNumberFormat="1" applyFont="1" applyFill="1" applyBorder="1" applyAlignment="1" applyProtection="1">
      <alignment horizontal="right"/>
    </xf>
    <xf numFmtId="3" fontId="38" fillId="0" borderId="19" xfId="0" applyNumberFormat="1" applyFont="1" applyFill="1" applyBorder="1" applyProtection="1"/>
    <xf numFmtId="3" fontId="39" fillId="0" borderId="8" xfId="0" applyNumberFormat="1" applyFont="1" applyBorder="1" applyAlignment="1" applyProtection="1">
      <alignment horizontal="left"/>
    </xf>
    <xf numFmtId="3" fontId="39" fillId="0" borderId="3" xfId="0" applyNumberFormat="1" applyFont="1" applyFill="1" applyBorder="1" applyProtection="1"/>
    <xf numFmtId="3" fontId="38" fillId="0" borderId="8" xfId="0" applyNumberFormat="1" applyFont="1" applyFill="1" applyBorder="1" applyAlignment="1" applyProtection="1"/>
    <xf numFmtId="3" fontId="38" fillId="0" borderId="3" xfId="0" applyNumberFormat="1" applyFont="1" applyFill="1" applyBorder="1" applyProtection="1"/>
    <xf numFmtId="3" fontId="38" fillId="0" borderId="0" xfId="0" applyNumberFormat="1" applyFont="1" applyFill="1" applyBorder="1" applyAlignment="1" applyProtection="1">
      <alignment horizontal="left"/>
    </xf>
    <xf numFmtId="3" fontId="39" fillId="0" borderId="0" xfId="0" applyNumberFormat="1" applyFont="1" applyBorder="1" applyAlignment="1">
      <alignment horizontal="left"/>
    </xf>
    <xf numFmtId="3" fontId="38" fillId="0" borderId="10" xfId="0" applyNumberFormat="1" applyFont="1" applyBorder="1"/>
    <xf numFmtId="3" fontId="42" fillId="0" borderId="0" xfId="0" applyNumberFormat="1" applyFont="1" applyFill="1" applyBorder="1" applyAlignment="1" applyProtection="1">
      <alignment horizontal="left"/>
    </xf>
    <xf numFmtId="3" fontId="42" fillId="0" borderId="0" xfId="0" applyNumberFormat="1" applyFont="1" applyFill="1" applyBorder="1" applyProtection="1"/>
    <xf numFmtId="3" fontId="38" fillId="0" borderId="0" xfId="0" applyNumberFormat="1" applyFont="1" applyBorder="1" applyAlignment="1">
      <alignment horizontal="left"/>
    </xf>
    <xf numFmtId="3" fontId="39" fillId="0" borderId="4" xfId="0" applyNumberFormat="1" applyFont="1" applyBorder="1" applyAlignment="1">
      <alignment horizontal="left"/>
    </xf>
    <xf numFmtId="3" fontId="38" fillId="0" borderId="16" xfId="0" applyNumberFormat="1" applyFont="1" applyBorder="1"/>
    <xf numFmtId="3" fontId="39" fillId="0" borderId="10" xfId="0" applyNumberFormat="1" applyFont="1" applyBorder="1"/>
    <xf numFmtId="0" fontId="34" fillId="0" borderId="14" xfId="0" applyFont="1" applyBorder="1"/>
    <xf numFmtId="3" fontId="39" fillId="0" borderId="14" xfId="0" applyNumberFormat="1" applyFont="1" applyBorder="1" applyAlignment="1" applyProtection="1">
      <alignment horizontal="left"/>
    </xf>
    <xf numFmtId="3" fontId="38" fillId="0" borderId="15" xfId="0" applyNumberFormat="1" applyFont="1" applyBorder="1" applyAlignment="1" applyProtection="1">
      <alignment horizontal="left"/>
    </xf>
    <xf numFmtId="3" fontId="38" fillId="0" borderId="15" xfId="0" applyNumberFormat="1" applyFont="1" applyFill="1" applyBorder="1" applyProtection="1"/>
    <xf numFmtId="3" fontId="38" fillId="0" borderId="18" xfId="0" applyNumberFormat="1" applyFont="1" applyFill="1" applyBorder="1" applyProtection="1"/>
    <xf numFmtId="3" fontId="38" fillId="0" borderId="15" xfId="0" applyNumberFormat="1" applyFont="1" applyBorder="1"/>
    <xf numFmtId="2" fontId="38" fillId="0" borderId="15" xfId="0" applyNumberFormat="1" applyFont="1" applyBorder="1"/>
    <xf numFmtId="3" fontId="35" fillId="0" borderId="0" xfId="0" applyNumberFormat="1" applyFont="1"/>
    <xf numFmtId="3" fontId="38" fillId="0" borderId="25" xfId="0" applyNumberFormat="1" applyFont="1" applyBorder="1"/>
    <xf numFmtId="3" fontId="39" fillId="0" borderId="25" xfId="0" applyNumberFormat="1" applyFont="1" applyBorder="1"/>
    <xf numFmtId="0" fontId="35" fillId="0" borderId="25" xfId="0" applyFont="1" applyBorder="1"/>
    <xf numFmtId="3" fontId="38" fillId="0" borderId="38" xfId="0" applyNumberFormat="1" applyFont="1" applyFill="1" applyBorder="1" applyProtection="1"/>
    <xf numFmtId="3" fontId="39" fillId="0" borderId="38" xfId="0" applyNumberFormat="1" applyFont="1" applyBorder="1"/>
    <xf numFmtId="3" fontId="39" fillId="0" borderId="39" xfId="0" applyNumberFormat="1" applyFont="1" applyBorder="1"/>
    <xf numFmtId="3" fontId="39" fillId="0" borderId="38" xfId="0" applyNumberFormat="1" applyFont="1" applyFill="1" applyBorder="1" applyProtection="1"/>
    <xf numFmtId="3" fontId="39" fillId="0" borderId="39" xfId="0" applyNumberFormat="1" applyFont="1" applyFill="1" applyBorder="1" applyProtection="1"/>
    <xf numFmtId="3" fontId="38" fillId="0" borderId="39" xfId="0" applyNumberFormat="1" applyFont="1" applyFill="1" applyBorder="1" applyProtection="1"/>
    <xf numFmtId="3" fontId="38" fillId="0" borderId="29" xfId="0" applyNumberFormat="1" applyFont="1" applyBorder="1" applyAlignment="1" applyProtection="1">
      <alignment horizontal="left"/>
    </xf>
    <xf numFmtId="3" fontId="38" fillId="0" borderId="25" xfId="0" applyNumberFormat="1" applyFont="1" applyBorder="1" applyAlignment="1" applyProtection="1">
      <alignment horizontal="left"/>
    </xf>
    <xf numFmtId="3" fontId="38" fillId="0" borderId="25" xfId="0" applyNumberFormat="1" applyFont="1" applyFill="1" applyBorder="1" applyProtection="1"/>
    <xf numFmtId="3" fontId="38" fillId="0" borderId="30" xfId="0" applyNumberFormat="1" applyFont="1" applyBorder="1"/>
    <xf numFmtId="2" fontId="38" fillId="0" borderId="42" xfId="0" applyNumberFormat="1" applyFont="1" applyBorder="1"/>
    <xf numFmtId="2" fontId="39" fillId="0" borderId="43" xfId="0" applyNumberFormat="1" applyFont="1" applyBorder="1"/>
    <xf numFmtId="3" fontId="39" fillId="0" borderId="29" xfId="0" applyNumberFormat="1" applyFont="1" applyBorder="1" applyAlignment="1" applyProtection="1">
      <alignment horizontal="left"/>
    </xf>
    <xf numFmtId="3" fontId="39" fillId="0" borderId="25" xfId="0" applyNumberFormat="1" applyFont="1" applyBorder="1" applyAlignment="1" applyProtection="1">
      <alignment horizontal="left"/>
    </xf>
    <xf numFmtId="3" fontId="39" fillId="0" borderId="25" xfId="0" applyNumberFormat="1" applyFont="1" applyFill="1" applyBorder="1" applyProtection="1"/>
    <xf numFmtId="3" fontId="39" fillId="0" borderId="25" xfId="0" applyNumberFormat="1" applyFont="1" applyFill="1" applyBorder="1" applyAlignment="1" applyProtection="1"/>
    <xf numFmtId="2" fontId="38" fillId="0" borderId="43" xfId="0" applyNumberFormat="1" applyFont="1" applyBorder="1"/>
    <xf numFmtId="49" fontId="39" fillId="0" borderId="29" xfId="0" applyNumberFormat="1" applyFont="1" applyBorder="1" applyAlignment="1" applyProtection="1">
      <alignment horizontal="left"/>
    </xf>
    <xf numFmtId="3" fontId="39" fillId="0" borderId="29" xfId="0" applyNumberFormat="1" applyFont="1" applyFill="1" applyBorder="1" applyAlignment="1" applyProtection="1"/>
    <xf numFmtId="3" fontId="38" fillId="0" borderId="29" xfId="0" applyNumberFormat="1" applyFont="1" applyFill="1" applyBorder="1" applyAlignment="1" applyProtection="1"/>
    <xf numFmtId="3" fontId="38" fillId="0" borderId="25" xfId="0" applyNumberFormat="1" applyFont="1" applyFill="1" applyBorder="1" applyAlignment="1" applyProtection="1"/>
    <xf numFmtId="3" fontId="39" fillId="0" borderId="29" xfId="0" applyNumberFormat="1" applyFont="1" applyFill="1" applyBorder="1" applyAlignment="1" applyProtection="1">
      <alignment horizontal="left"/>
    </xf>
    <xf numFmtId="3" fontId="38" fillId="0" borderId="29" xfId="0" applyNumberFormat="1" applyFont="1" applyFill="1" applyBorder="1" applyAlignment="1" applyProtection="1">
      <alignment horizontal="left" vertical="center" wrapText="1"/>
    </xf>
    <xf numFmtId="3" fontId="38" fillId="0" borderId="25" xfId="0" applyNumberFormat="1" applyFont="1" applyFill="1" applyBorder="1" applyAlignment="1" applyProtection="1">
      <alignment vertical="center" wrapText="1"/>
    </xf>
    <xf numFmtId="3" fontId="38" fillId="0" borderId="25" xfId="0" applyNumberFormat="1" applyFont="1" applyFill="1" applyBorder="1" applyAlignment="1"/>
    <xf numFmtId="3" fontId="39" fillId="0" borderId="25" xfId="0" applyNumberFormat="1" applyFont="1" applyFill="1" applyBorder="1" applyAlignment="1" applyProtection="1">
      <alignment horizontal="left" vertical="center" wrapText="1"/>
    </xf>
    <xf numFmtId="3" fontId="39" fillId="0" borderId="25" xfId="0" applyNumberFormat="1" applyFont="1" applyFill="1" applyBorder="1" applyAlignment="1"/>
    <xf numFmtId="0" fontId="0" fillId="0" borderId="0" xfId="0" applyFont="1"/>
    <xf numFmtId="3" fontId="39" fillId="0" borderId="0" xfId="0" applyNumberFormat="1" applyFont="1" applyBorder="1"/>
    <xf numFmtId="0" fontId="45" fillId="0" borderId="0" xfId="0" applyFont="1"/>
    <xf numFmtId="3" fontId="46" fillId="0" borderId="50" xfId="0" applyNumberFormat="1" applyFont="1" applyBorder="1" applyAlignment="1" applyProtection="1">
      <alignment horizontal="left"/>
    </xf>
    <xf numFmtId="3" fontId="46" fillId="0" borderId="25" xfId="0" applyNumberFormat="1" applyFont="1" applyBorder="1" applyAlignment="1" applyProtection="1">
      <alignment horizontal="left"/>
    </xf>
    <xf numFmtId="3" fontId="46" fillId="0" borderId="25" xfId="0" applyNumberFormat="1" applyFont="1" applyFill="1" applyBorder="1" applyProtection="1"/>
    <xf numFmtId="3" fontId="46" fillId="0" borderId="47" xfId="0" applyNumberFormat="1" applyFont="1" applyFill="1" applyBorder="1" applyProtection="1"/>
    <xf numFmtId="3" fontId="46" fillId="0" borderId="45" xfId="0" applyNumberFormat="1" applyFont="1" applyBorder="1"/>
    <xf numFmtId="3" fontId="45" fillId="0" borderId="47" xfId="0" applyNumberFormat="1" applyFont="1" applyBorder="1"/>
    <xf numFmtId="3" fontId="46" fillId="0" borderId="3" xfId="0" applyNumberFormat="1" applyFont="1" applyBorder="1"/>
    <xf numFmtId="49" fontId="45" fillId="0" borderId="50" xfId="0" applyNumberFormat="1" applyFont="1" applyBorder="1" applyAlignment="1" applyProtection="1">
      <alignment horizontal="left"/>
    </xf>
    <xf numFmtId="3" fontId="45" fillId="0" borderId="25" xfId="0" applyNumberFormat="1" applyFont="1" applyBorder="1" applyAlignment="1" applyProtection="1">
      <alignment horizontal="left"/>
    </xf>
    <xf numFmtId="3" fontId="45" fillId="0" borderId="25" xfId="0" applyNumberFormat="1" applyFont="1" applyFill="1" applyBorder="1" applyProtection="1"/>
    <xf numFmtId="3" fontId="45" fillId="0" borderId="25" xfId="0" applyNumberFormat="1" applyFont="1" applyFill="1" applyBorder="1" applyAlignment="1" applyProtection="1"/>
    <xf numFmtId="3" fontId="45" fillId="0" borderId="25" xfId="0" applyNumberFormat="1" applyFont="1" applyBorder="1"/>
    <xf numFmtId="3" fontId="46" fillId="0" borderId="47" xfId="0" applyNumberFormat="1" applyFont="1" applyBorder="1"/>
    <xf numFmtId="3" fontId="45" fillId="0" borderId="50" xfId="0" applyNumberFormat="1" applyFont="1" applyBorder="1" applyAlignment="1" applyProtection="1">
      <alignment horizontal="left"/>
    </xf>
    <xf numFmtId="3" fontId="46" fillId="0" borderId="50" xfId="0" applyNumberFormat="1" applyFont="1" applyFill="1" applyBorder="1" applyAlignment="1" applyProtection="1"/>
    <xf numFmtId="3" fontId="46" fillId="0" borderId="25" xfId="0" applyNumberFormat="1" applyFont="1" applyFill="1" applyBorder="1" applyAlignment="1" applyProtection="1"/>
    <xf numFmtId="3" fontId="45" fillId="0" borderId="50" xfId="0" applyNumberFormat="1" applyFont="1" applyFill="1" applyBorder="1" applyAlignment="1" applyProtection="1"/>
    <xf numFmtId="3" fontId="45" fillId="0" borderId="50" xfId="0" applyNumberFormat="1" applyFont="1" applyFill="1" applyBorder="1" applyAlignment="1" applyProtection="1">
      <alignment horizontal="left"/>
    </xf>
    <xf numFmtId="3" fontId="46" fillId="0" borderId="50" xfId="0" applyNumberFormat="1" applyFont="1" applyFill="1" applyBorder="1" applyAlignment="1" applyProtection="1">
      <alignment horizontal="left" vertical="center" wrapText="1"/>
    </xf>
    <xf numFmtId="3" fontId="46" fillId="0" borderId="25" xfId="0" applyNumberFormat="1" applyFont="1" applyFill="1" applyBorder="1" applyAlignment="1" applyProtection="1">
      <alignment vertical="center" wrapText="1"/>
    </xf>
    <xf numFmtId="3" fontId="46" fillId="0" borderId="25" xfId="0" applyNumberFormat="1" applyFont="1" applyFill="1" applyBorder="1" applyAlignment="1"/>
    <xf numFmtId="3" fontId="46" fillId="0" borderId="47" xfId="0" applyNumberFormat="1" applyFont="1" applyFill="1" applyBorder="1" applyAlignment="1"/>
    <xf numFmtId="3" fontId="45" fillId="0" borderId="25" xfId="0" applyNumberFormat="1" applyFont="1" applyFill="1" applyBorder="1" applyAlignment="1" applyProtection="1">
      <alignment horizontal="left" vertical="center" wrapText="1"/>
    </xf>
    <xf numFmtId="3" fontId="45" fillId="0" borderId="25" xfId="0" applyNumberFormat="1" applyFont="1" applyFill="1" applyBorder="1" applyAlignment="1"/>
    <xf numFmtId="3" fontId="46" fillId="0" borderId="25" xfId="0" applyNumberFormat="1" applyFont="1" applyBorder="1"/>
    <xf numFmtId="3" fontId="45" fillId="0" borderId="3" xfId="0" applyNumberFormat="1" applyFont="1" applyBorder="1"/>
    <xf numFmtId="3" fontId="46" fillId="0" borderId="50" xfId="0" applyNumberFormat="1" applyFont="1" applyFill="1" applyBorder="1" applyAlignment="1" applyProtection="1">
      <alignment horizontal="left"/>
    </xf>
    <xf numFmtId="3" fontId="45" fillId="0" borderId="51" xfId="0" applyNumberFormat="1" applyFont="1" applyBorder="1" applyAlignment="1" applyProtection="1">
      <alignment horizontal="left"/>
    </xf>
    <xf numFmtId="3" fontId="46" fillId="0" borderId="22" xfId="0" applyNumberFormat="1" applyFont="1" applyBorder="1" applyAlignment="1" applyProtection="1">
      <alignment horizontal="left"/>
    </xf>
    <xf numFmtId="3" fontId="46" fillId="0" borderId="22" xfId="0" applyNumberFormat="1" applyFont="1" applyFill="1" applyBorder="1" applyProtection="1"/>
    <xf numFmtId="3" fontId="46" fillId="0" borderId="27" xfId="0" applyNumberFormat="1" applyFont="1" applyFill="1" applyBorder="1" applyProtection="1"/>
    <xf numFmtId="3" fontId="46" fillId="0" borderId="48" xfId="0" applyNumberFormat="1" applyFont="1" applyFill="1" applyBorder="1" applyProtection="1"/>
    <xf numFmtId="3" fontId="46" fillId="0" borderId="46" xfId="0" applyNumberFormat="1" applyFont="1" applyBorder="1"/>
    <xf numFmtId="167" fontId="45" fillId="0" borderId="0" xfId="0" applyNumberFormat="1" applyFont="1" applyBorder="1" applyAlignment="1" applyProtection="1">
      <alignment horizontal="left"/>
    </xf>
    <xf numFmtId="167" fontId="47" fillId="0" borderId="0" xfId="0" applyNumberFormat="1" applyFont="1" applyBorder="1" applyAlignment="1" applyProtection="1">
      <alignment horizontal="left"/>
    </xf>
    <xf numFmtId="3" fontId="46" fillId="0" borderId="0" xfId="0" applyNumberFormat="1" applyFont="1" applyFill="1" applyBorder="1" applyProtection="1"/>
    <xf numFmtId="168" fontId="46" fillId="0" borderId="0" xfId="0" applyNumberFormat="1" applyFont="1" applyFill="1" applyBorder="1" applyProtection="1"/>
    <xf numFmtId="166" fontId="48" fillId="0" borderId="0" xfId="0" applyNumberFormat="1" applyFont="1" applyBorder="1" applyAlignment="1">
      <alignment horizontal="right"/>
    </xf>
    <xf numFmtId="49" fontId="46" fillId="0" borderId="50" xfId="0" applyNumberFormat="1" applyFont="1" applyBorder="1" applyAlignment="1" applyProtection="1">
      <alignment horizontal="left"/>
    </xf>
    <xf numFmtId="0" fontId="37" fillId="0" borderId="0" xfId="0" applyFont="1" applyBorder="1" applyAlignment="1">
      <alignment horizontal="left"/>
    </xf>
    <xf numFmtId="3" fontId="42" fillId="0" borderId="0" xfId="0" applyNumberFormat="1" applyFont="1" applyFill="1" applyBorder="1" applyAlignment="1" applyProtection="1"/>
    <xf numFmtId="3" fontId="42" fillId="0" borderId="0" xfId="0" applyNumberFormat="1" applyFont="1" applyBorder="1"/>
    <xf numFmtId="3" fontId="41" fillId="0" borderId="0" xfId="0" applyNumberFormat="1" applyFont="1" applyBorder="1"/>
    <xf numFmtId="2" fontId="41" fillId="0" borderId="0" xfId="0" applyNumberFormat="1" applyFont="1" applyBorder="1"/>
    <xf numFmtId="3" fontId="39" fillId="0" borderId="52" xfId="0" applyNumberFormat="1" applyFont="1" applyFill="1" applyBorder="1" applyProtection="1"/>
    <xf numFmtId="3" fontId="38" fillId="0" borderId="53" xfId="0" applyNumberFormat="1" applyFont="1" applyFill="1" applyBorder="1" applyProtection="1"/>
    <xf numFmtId="0" fontId="25" fillId="5" borderId="20" xfId="0" applyFont="1" applyFill="1" applyBorder="1" applyAlignment="1">
      <alignment horizontal="center"/>
    </xf>
    <xf numFmtId="0" fontId="25" fillId="5" borderId="22" xfId="0" applyFont="1" applyFill="1" applyBorder="1" applyAlignment="1">
      <alignment horizontal="center"/>
    </xf>
    <xf numFmtId="0" fontId="25" fillId="5" borderId="28" xfId="0" applyFont="1" applyFill="1" applyBorder="1" applyAlignment="1">
      <alignment horizontal="center"/>
    </xf>
    <xf numFmtId="0" fontId="38" fillId="5" borderId="26" xfId="0" applyFont="1" applyFill="1" applyBorder="1" applyAlignment="1">
      <alignment horizontal="center"/>
    </xf>
    <xf numFmtId="3" fontId="38" fillId="5" borderId="26" xfId="0" applyNumberFormat="1" applyFont="1" applyFill="1" applyBorder="1" applyAlignment="1">
      <alignment horizontal="center"/>
    </xf>
    <xf numFmtId="3" fontId="38" fillId="5" borderId="26" xfId="0" applyNumberFormat="1" applyFont="1" applyFill="1" applyBorder="1" applyAlignment="1" applyProtection="1">
      <alignment horizontal="center"/>
    </xf>
    <xf numFmtId="0" fontId="38" fillId="5" borderId="26" xfId="0" applyFont="1" applyFill="1" applyBorder="1" applyAlignment="1">
      <alignment horizontal="center" vertical="center" wrapText="1"/>
    </xf>
    <xf numFmtId="169" fontId="38" fillId="5" borderId="26" xfId="0" applyNumberFormat="1" applyFont="1" applyFill="1" applyBorder="1" applyAlignment="1">
      <alignment horizontal="center"/>
    </xf>
    <xf numFmtId="3" fontId="42" fillId="5" borderId="5" xfId="0" applyNumberFormat="1" applyFont="1" applyFill="1" applyBorder="1" applyAlignment="1">
      <alignment horizontal="center"/>
    </xf>
    <xf numFmtId="3" fontId="42" fillId="5" borderId="5" xfId="0" applyNumberFormat="1" applyFont="1" applyFill="1" applyBorder="1" applyAlignment="1" applyProtection="1">
      <alignment horizontal="center"/>
    </xf>
    <xf numFmtId="3" fontId="42" fillId="5" borderId="5" xfId="0" applyNumberFormat="1" applyFont="1" applyFill="1" applyBorder="1" applyAlignment="1">
      <alignment horizontal="center" vertical="center" wrapText="1"/>
    </xf>
    <xf numFmtId="3" fontId="39" fillId="0" borderId="61" xfId="0" applyNumberFormat="1" applyFont="1" applyBorder="1"/>
    <xf numFmtId="3" fontId="38" fillId="0" borderId="61" xfId="0" applyNumberFormat="1" applyFont="1" applyFill="1" applyBorder="1" applyProtection="1"/>
    <xf numFmtId="2" fontId="39" fillId="0" borderId="61" xfId="0" applyNumberFormat="1" applyFont="1" applyBorder="1"/>
    <xf numFmtId="3" fontId="38" fillId="0" borderId="61" xfId="0" applyNumberFormat="1" applyFont="1" applyFill="1" applyBorder="1" applyAlignment="1" applyProtection="1"/>
    <xf numFmtId="3" fontId="38" fillId="0" borderId="61" xfId="0" applyNumberFormat="1" applyFont="1" applyBorder="1"/>
    <xf numFmtId="2" fontId="38" fillId="0" borderId="61" xfId="0" applyNumberFormat="1" applyFont="1" applyBorder="1"/>
    <xf numFmtId="3" fontId="39" fillId="0" borderId="61" xfId="0" applyNumberFormat="1" applyFont="1" applyBorder="1" applyAlignment="1" applyProtection="1">
      <alignment horizontal="left"/>
    </xf>
    <xf numFmtId="3" fontId="39" fillId="0" borderId="61" xfId="0" applyNumberFormat="1" applyFont="1" applyFill="1" applyBorder="1" applyProtection="1"/>
    <xf numFmtId="0" fontId="35" fillId="0" borderId="61" xfId="0" applyFont="1" applyBorder="1"/>
    <xf numFmtId="3" fontId="39" fillId="0" borderId="61" xfId="0" applyNumberFormat="1" applyFont="1" applyFill="1" applyBorder="1" applyAlignment="1" applyProtection="1"/>
    <xf numFmtId="3" fontId="38" fillId="0" borderId="61" xfId="0" applyNumberFormat="1" applyFont="1" applyBorder="1" applyAlignment="1" applyProtection="1">
      <alignment horizontal="left"/>
    </xf>
    <xf numFmtId="0" fontId="11" fillId="0" borderId="0" xfId="0" applyFont="1" applyBorder="1"/>
    <xf numFmtId="4" fontId="0" fillId="0" borderId="0" xfId="0" applyNumberFormat="1" applyBorder="1"/>
    <xf numFmtId="0" fontId="49" fillId="0" borderId="0" xfId="0" applyFont="1" applyBorder="1"/>
    <xf numFmtId="4" fontId="49" fillId="0" borderId="0" xfId="0" applyNumberFormat="1" applyFont="1" applyBorder="1"/>
    <xf numFmtId="4" fontId="49" fillId="0" borderId="0" xfId="0" applyNumberFormat="1" applyFont="1" applyFill="1" applyBorder="1"/>
    <xf numFmtId="0" fontId="50" fillId="0" borderId="0" xfId="0" applyFont="1" applyBorder="1" applyAlignment="1">
      <alignment horizontal="center"/>
    </xf>
    <xf numFmtId="0" fontId="50" fillId="0" borderId="0" xfId="0" applyFont="1" applyBorder="1"/>
    <xf numFmtId="3" fontId="39" fillId="0" borderId="52" xfId="0" applyNumberFormat="1" applyFont="1" applyFill="1" applyBorder="1" applyAlignment="1" applyProtection="1"/>
    <xf numFmtId="3" fontId="39" fillId="0" borderId="0" xfId="0" applyNumberFormat="1" applyFont="1" applyFill="1" applyBorder="1" applyProtection="1"/>
    <xf numFmtId="3" fontId="39" fillId="0" borderId="63" xfId="0" applyNumberFormat="1" applyFont="1" applyFill="1" applyBorder="1" applyProtection="1"/>
    <xf numFmtId="3" fontId="39" fillId="0" borderId="52" xfId="0" applyNumberFormat="1" applyFont="1" applyBorder="1"/>
    <xf numFmtId="0" fontId="0" fillId="0" borderId="0" xfId="0" applyFill="1" applyBorder="1"/>
    <xf numFmtId="0" fontId="40" fillId="0" borderId="25" xfId="0" applyFont="1" applyBorder="1"/>
    <xf numFmtId="3" fontId="51" fillId="0" borderId="0" xfId="0" applyNumberFormat="1" applyFont="1"/>
    <xf numFmtId="3" fontId="38" fillId="0" borderId="62" xfId="0" applyNumberFormat="1" applyFont="1" applyBorder="1"/>
    <xf numFmtId="0" fontId="45" fillId="6" borderId="64" xfId="0" applyFont="1" applyFill="1" applyBorder="1"/>
    <xf numFmtId="0" fontId="20" fillId="6" borderId="64" xfId="0" applyFont="1" applyFill="1" applyBorder="1" applyAlignment="1">
      <alignment horizontal="center"/>
    </xf>
    <xf numFmtId="0" fontId="46" fillId="6" borderId="64" xfId="0" applyFont="1" applyFill="1" applyBorder="1" applyAlignment="1">
      <alignment horizontal="center"/>
    </xf>
    <xf numFmtId="0" fontId="45" fillId="6" borderId="65" xfId="0" applyFont="1" applyFill="1" applyBorder="1"/>
    <xf numFmtId="0" fontId="20" fillId="6" borderId="65" xfId="0" applyFont="1" applyFill="1" applyBorder="1" applyAlignment="1">
      <alignment horizontal="center"/>
    </xf>
    <xf numFmtId="0" fontId="46" fillId="6" borderId="65" xfId="0" applyFont="1" applyFill="1" applyBorder="1" applyAlignment="1">
      <alignment horizontal="center"/>
    </xf>
    <xf numFmtId="3" fontId="38" fillId="5" borderId="37" xfId="0" applyNumberFormat="1" applyFont="1" applyFill="1" applyBorder="1" applyAlignment="1" applyProtection="1">
      <alignment horizontal="center"/>
    </xf>
    <xf numFmtId="3" fontId="42" fillId="5" borderId="66" xfId="0" applyNumberFormat="1" applyFont="1" applyFill="1" applyBorder="1" applyAlignment="1">
      <alignment horizontal="center"/>
    </xf>
    <xf numFmtId="3" fontId="38" fillId="0" borderId="27" xfId="0" applyNumberFormat="1" applyFont="1" applyBorder="1"/>
    <xf numFmtId="3" fontId="38" fillId="0" borderId="52" xfId="0" applyNumberFormat="1" applyFont="1" applyFill="1" applyBorder="1" applyProtection="1"/>
    <xf numFmtId="3" fontId="41" fillId="0" borderId="52" xfId="0" applyNumberFormat="1" applyFont="1" applyBorder="1"/>
    <xf numFmtId="3" fontId="38" fillId="0" borderId="67" xfId="0" applyNumberFormat="1" applyFont="1" applyFill="1" applyBorder="1" applyProtection="1"/>
    <xf numFmtId="3" fontId="38" fillId="0" borderId="52" xfId="0" applyNumberFormat="1" applyFont="1" applyBorder="1"/>
    <xf numFmtId="3" fontId="4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5" fillId="5" borderId="32" xfId="0" applyFont="1" applyFill="1" applyBorder="1" applyAlignment="1">
      <alignment horizontal="center" vertical="center" wrapText="1"/>
    </xf>
    <xf numFmtId="0" fontId="25" fillId="5" borderId="31" xfId="0" applyFont="1" applyFill="1" applyBorder="1" applyAlignment="1">
      <alignment horizontal="center" vertical="center" wrapText="1"/>
    </xf>
    <xf numFmtId="0" fontId="25" fillId="5" borderId="21" xfId="0" applyFont="1" applyFill="1" applyBorder="1" applyAlignment="1">
      <alignment horizontal="center" vertical="center" wrapText="1"/>
    </xf>
    <xf numFmtId="0" fontId="25" fillId="5" borderId="23" xfId="0" applyFont="1" applyFill="1" applyBorder="1" applyAlignment="1">
      <alignment horizontal="center" vertical="center" wrapText="1"/>
    </xf>
    <xf numFmtId="0" fontId="25" fillId="5" borderId="24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36" fillId="0" borderId="2" xfId="0" applyFont="1" applyBorder="1" applyAlignment="1">
      <alignment horizontal="center"/>
    </xf>
    <xf numFmtId="0" fontId="36" fillId="0" borderId="58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8" fillId="5" borderId="49" xfId="0" applyFont="1" applyFill="1" applyBorder="1" applyAlignment="1">
      <alignment horizontal="center" vertical="center"/>
    </xf>
    <xf numFmtId="0" fontId="38" fillId="5" borderId="40" xfId="0" applyFont="1" applyFill="1" applyBorder="1" applyAlignment="1">
      <alignment horizontal="center" vertical="center"/>
    </xf>
    <xf numFmtId="167" fontId="38" fillId="5" borderId="40" xfId="0" applyNumberFormat="1" applyFont="1" applyFill="1" applyBorder="1" applyAlignment="1" applyProtection="1">
      <alignment horizontal="center" vertical="center" wrapText="1"/>
    </xf>
    <xf numFmtId="3" fontId="38" fillId="5" borderId="40" xfId="0" applyNumberFormat="1" applyFont="1" applyFill="1" applyBorder="1" applyAlignment="1" applyProtection="1">
      <alignment horizontal="center" vertical="center" wrapText="1"/>
    </xf>
    <xf numFmtId="3" fontId="38" fillId="5" borderId="55" xfId="0" applyNumberFormat="1" applyFont="1" applyFill="1" applyBorder="1" applyAlignment="1" applyProtection="1">
      <alignment horizontal="center" vertical="center" wrapText="1"/>
    </xf>
    <xf numFmtId="3" fontId="38" fillId="5" borderId="56" xfId="0" applyNumberFormat="1" applyFont="1" applyFill="1" applyBorder="1" applyAlignment="1" applyProtection="1">
      <alignment horizontal="center" vertical="center" wrapText="1"/>
    </xf>
    <xf numFmtId="3" fontId="38" fillId="5" borderId="37" xfId="0" applyNumberFormat="1" applyFont="1" applyFill="1" applyBorder="1" applyAlignment="1" applyProtection="1">
      <alignment horizontal="center" vertical="center" wrapText="1"/>
    </xf>
    <xf numFmtId="3" fontId="38" fillId="5" borderId="57" xfId="0" applyNumberFormat="1" applyFont="1" applyFill="1" applyBorder="1" applyAlignment="1" applyProtection="1">
      <alignment horizontal="center" vertical="center" wrapText="1"/>
    </xf>
    <xf numFmtId="49" fontId="38" fillId="5" borderId="44" xfId="0" applyNumberFormat="1" applyFont="1" applyFill="1" applyBorder="1" applyAlignment="1">
      <alignment horizontal="center" vertical="center" wrapText="1"/>
    </xf>
    <xf numFmtId="49" fontId="42" fillId="5" borderId="12" xfId="0" applyNumberFormat="1" applyFont="1" applyFill="1" applyBorder="1" applyAlignment="1">
      <alignment horizontal="center" vertical="center" wrapText="1"/>
    </xf>
    <xf numFmtId="0" fontId="42" fillId="5" borderId="13" xfId="0" applyFont="1" applyFill="1" applyBorder="1" applyAlignment="1">
      <alignment horizontal="center" vertical="center"/>
    </xf>
    <xf numFmtId="3" fontId="42" fillId="5" borderId="11" xfId="0" applyNumberFormat="1" applyFont="1" applyFill="1" applyBorder="1" applyAlignment="1" applyProtection="1">
      <alignment horizontal="center" vertical="center" wrapText="1"/>
    </xf>
    <xf numFmtId="3" fontId="42" fillId="5" borderId="68" xfId="0" applyNumberFormat="1" applyFont="1" applyFill="1" applyBorder="1" applyAlignment="1" applyProtection="1">
      <alignment horizontal="center" vertical="center" wrapText="1"/>
    </xf>
    <xf numFmtId="3" fontId="42" fillId="5" borderId="45" xfId="0" applyNumberFormat="1" applyFont="1" applyFill="1" applyBorder="1" applyAlignment="1" applyProtection="1">
      <alignment horizontal="center" vertical="center" wrapText="1"/>
    </xf>
    <xf numFmtId="3" fontId="42" fillId="5" borderId="69" xfId="0" applyNumberFormat="1" applyFont="1" applyFill="1" applyBorder="1" applyAlignment="1" applyProtection="1">
      <alignment horizontal="center" vertical="center" wrapText="1"/>
    </xf>
    <xf numFmtId="3" fontId="42" fillId="5" borderId="70" xfId="0" applyNumberFormat="1" applyFont="1" applyFill="1" applyBorder="1" applyAlignment="1" applyProtection="1">
      <alignment horizontal="center" vertical="center" wrapText="1"/>
    </xf>
    <xf numFmtId="3" fontId="38" fillId="5" borderId="30" xfId="0" applyNumberFormat="1" applyFont="1" applyFill="1" applyBorder="1" applyAlignment="1" applyProtection="1">
      <alignment horizontal="center" vertical="center" wrapText="1"/>
    </xf>
    <xf numFmtId="3" fontId="38" fillId="5" borderId="25" xfId="0" applyNumberFormat="1" applyFont="1" applyFill="1" applyBorder="1" applyAlignment="1" applyProtection="1">
      <alignment horizontal="center" vertical="center" wrapText="1"/>
    </xf>
    <xf numFmtId="49" fontId="38" fillId="5" borderId="41" xfId="0" applyNumberFormat="1" applyFont="1" applyFill="1" applyBorder="1" applyAlignment="1">
      <alignment horizontal="center" vertical="center" wrapText="1"/>
    </xf>
    <xf numFmtId="0" fontId="38" fillId="5" borderId="19" xfId="0" applyFont="1" applyFill="1" applyBorder="1" applyAlignment="1">
      <alignment horizontal="center" vertical="center"/>
    </xf>
    <xf numFmtId="0" fontId="38" fillId="5" borderId="56" xfId="0" applyFont="1" applyFill="1" applyBorder="1" applyAlignment="1">
      <alignment horizontal="center" vertical="center"/>
    </xf>
    <xf numFmtId="0" fontId="38" fillId="5" borderId="59" xfId="0" applyFont="1" applyFill="1" applyBorder="1" applyAlignment="1">
      <alignment horizontal="center" vertical="center"/>
    </xf>
    <xf numFmtId="0" fontId="38" fillId="5" borderId="29" xfId="0" applyFont="1" applyFill="1" applyBorder="1" applyAlignment="1">
      <alignment horizontal="center" vertical="center"/>
    </xf>
    <xf numFmtId="0" fontId="38" fillId="5" borderId="60" xfId="0" applyFont="1" applyFill="1" applyBorder="1" applyAlignment="1">
      <alignment horizontal="center" vertical="center"/>
    </xf>
    <xf numFmtId="0" fontId="38" fillId="5" borderId="57" xfId="0" applyFont="1" applyFill="1" applyBorder="1" applyAlignment="1">
      <alignment horizontal="center" vertical="center"/>
    </xf>
    <xf numFmtId="167" fontId="38" fillId="5" borderId="55" xfId="0" applyNumberFormat="1" applyFont="1" applyFill="1" applyBorder="1" applyAlignment="1" applyProtection="1">
      <alignment horizontal="center" vertical="center" wrapText="1"/>
    </xf>
    <xf numFmtId="167" fontId="38" fillId="5" borderId="58" xfId="0" applyNumberFormat="1" applyFont="1" applyFill="1" applyBorder="1" applyAlignment="1" applyProtection="1">
      <alignment horizontal="center" vertical="center" wrapText="1"/>
    </xf>
    <xf numFmtId="167" fontId="38" fillId="5" borderId="56" xfId="0" applyNumberFormat="1" applyFont="1" applyFill="1" applyBorder="1" applyAlignment="1" applyProtection="1">
      <alignment horizontal="center" vertical="center" wrapText="1"/>
    </xf>
    <xf numFmtId="167" fontId="38" fillId="5" borderId="37" xfId="0" applyNumberFormat="1" applyFont="1" applyFill="1" applyBorder="1" applyAlignment="1" applyProtection="1">
      <alignment horizontal="center" vertical="center" wrapText="1"/>
    </xf>
    <xf numFmtId="167" fontId="38" fillId="5" borderId="2" xfId="0" applyNumberFormat="1" applyFont="1" applyFill="1" applyBorder="1" applyAlignment="1" applyProtection="1">
      <alignment horizontal="center" vertical="center" wrapText="1"/>
    </xf>
    <xf numFmtId="167" fontId="38" fillId="5" borderId="57" xfId="0" applyNumberFormat="1" applyFont="1" applyFill="1" applyBorder="1" applyAlignment="1" applyProtection="1">
      <alignment horizontal="center" vertical="center" wrapText="1"/>
    </xf>
    <xf numFmtId="3" fontId="38" fillId="5" borderId="26" xfId="0" applyNumberFormat="1" applyFont="1" applyFill="1" applyBorder="1" applyAlignment="1" applyProtection="1">
      <alignment horizontal="center" vertical="center" wrapText="1"/>
    </xf>
    <xf numFmtId="49" fontId="38" fillId="5" borderId="42" xfId="0" applyNumberFormat="1" applyFont="1" applyFill="1" applyBorder="1" applyAlignment="1">
      <alignment horizontal="center" vertical="center" wrapText="1"/>
    </xf>
    <xf numFmtId="49" fontId="38" fillId="5" borderId="43" xfId="0" applyNumberFormat="1" applyFont="1" applyFill="1" applyBorder="1" applyAlignment="1">
      <alignment horizontal="center" vertical="center" wrapText="1"/>
    </xf>
    <xf numFmtId="49" fontId="38" fillId="5" borderId="54" xfId="0" applyNumberFormat="1" applyFont="1" applyFill="1" applyBorder="1" applyAlignment="1">
      <alignment horizontal="center" vertical="center" wrapText="1"/>
    </xf>
    <xf numFmtId="167" fontId="9" fillId="0" borderId="0" xfId="0" applyNumberFormat="1" applyFont="1" applyBorder="1" applyAlignment="1" applyProtection="1">
      <alignment horizontal="left"/>
    </xf>
    <xf numFmtId="0" fontId="44" fillId="0" borderId="0" xfId="0" applyFont="1" applyBorder="1" applyAlignment="1">
      <alignment horizontal="center"/>
    </xf>
    <xf numFmtId="0" fontId="52" fillId="0" borderId="0" xfId="0" applyFont="1" applyAlignment="1">
      <alignment horizontal="center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2323DC"/>
      <rgbColor rgb="00FF00FF"/>
      <rgbColor rgb="00FFFF00"/>
      <rgbColor rgb="0000FFFF"/>
      <rgbColor rgb="00800080"/>
      <rgbColor rgb="00800000"/>
      <rgbColor rgb="00008080"/>
      <rgbColor rgb="002300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99"/>
      <color rgb="FF062948"/>
      <color rgb="FFFFFFCC"/>
      <color rgb="FFFFCCFF"/>
      <color rgb="FF0066CC"/>
      <color rgb="FF0033CC"/>
      <color rgb="FF000099"/>
      <color rgb="FF0000CC"/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123825</xdr:rowOff>
    </xdr:to>
    <xdr:sp macro="" textlink="">
      <xdr:nvSpPr>
        <xdr:cNvPr id="84900" name="Line 1"/>
        <xdr:cNvSpPr>
          <a:spLocks noChangeShapeType="1"/>
        </xdr:cNvSpPr>
      </xdr:nvSpPr>
      <xdr:spPr bwMode="auto">
        <a:xfrm flipV="1">
          <a:off x="4038600" y="923925"/>
          <a:ext cx="0" cy="123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123825</xdr:rowOff>
    </xdr:to>
    <xdr:sp macro="" textlink="">
      <xdr:nvSpPr>
        <xdr:cNvPr id="84901" name="Line 1"/>
        <xdr:cNvSpPr>
          <a:spLocks noChangeShapeType="1"/>
        </xdr:cNvSpPr>
      </xdr:nvSpPr>
      <xdr:spPr bwMode="auto">
        <a:xfrm flipV="1">
          <a:off x="4038600" y="923925"/>
          <a:ext cx="0" cy="123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123825</xdr:rowOff>
    </xdr:to>
    <xdr:sp macro="" textlink="">
      <xdr:nvSpPr>
        <xdr:cNvPr id="84902" name="Line 1"/>
        <xdr:cNvSpPr>
          <a:spLocks noChangeShapeType="1"/>
        </xdr:cNvSpPr>
      </xdr:nvSpPr>
      <xdr:spPr bwMode="auto">
        <a:xfrm flipV="1">
          <a:off x="4038600" y="923925"/>
          <a:ext cx="0" cy="123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123825</xdr:rowOff>
    </xdr:to>
    <xdr:sp macro="" textlink="">
      <xdr:nvSpPr>
        <xdr:cNvPr id="84903" name="Line 1"/>
        <xdr:cNvSpPr>
          <a:spLocks noChangeShapeType="1"/>
        </xdr:cNvSpPr>
      </xdr:nvSpPr>
      <xdr:spPr bwMode="auto">
        <a:xfrm flipV="1">
          <a:off x="4038600" y="923925"/>
          <a:ext cx="0" cy="123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123825</xdr:rowOff>
    </xdr:to>
    <xdr:sp macro="" textlink="">
      <xdr:nvSpPr>
        <xdr:cNvPr id="84904" name="Line 1"/>
        <xdr:cNvSpPr>
          <a:spLocks noChangeShapeType="1"/>
        </xdr:cNvSpPr>
      </xdr:nvSpPr>
      <xdr:spPr bwMode="auto">
        <a:xfrm flipV="1">
          <a:off x="4038600" y="923925"/>
          <a:ext cx="0" cy="123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123825</xdr:rowOff>
    </xdr:to>
    <xdr:sp macro="" textlink="">
      <xdr:nvSpPr>
        <xdr:cNvPr id="84905" name="Line 1"/>
        <xdr:cNvSpPr>
          <a:spLocks noChangeShapeType="1"/>
        </xdr:cNvSpPr>
      </xdr:nvSpPr>
      <xdr:spPr bwMode="auto">
        <a:xfrm flipV="1">
          <a:off x="4038600" y="923925"/>
          <a:ext cx="0" cy="123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pre05\COPIA%20MAYRA\EJECUCION%20PRESUP%20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rgb="FFFFC000"/>
  </sheetPr>
  <dimension ref="A1:T252"/>
  <sheetViews>
    <sheetView showGridLines="0" showZeros="0" tabSelected="1" topLeftCell="A2" workbookViewId="0">
      <selection activeCell="F253" sqref="F253"/>
    </sheetView>
  </sheetViews>
  <sheetFormatPr baseColWidth="10" defaultColWidth="11.42578125" defaultRowHeight="12.75" x14ac:dyDescent="0.2"/>
  <cols>
    <col min="1" max="1" width="1.7109375" style="84" customWidth="1"/>
    <col min="2" max="2" width="4.85546875" style="86" customWidth="1"/>
    <col min="3" max="3" width="32.5703125" style="86" customWidth="1"/>
    <col min="4" max="4" width="14.140625" style="86" hidden="1" customWidth="1"/>
    <col min="5" max="5" width="13.140625" style="86" hidden="1" customWidth="1"/>
    <col min="6" max="6" width="13" style="86" customWidth="1"/>
    <col min="7" max="7" width="14" style="86" customWidth="1"/>
    <col min="8" max="8" width="12.28515625" style="86" customWidth="1"/>
    <col min="9" max="9" width="12" style="86" customWidth="1"/>
    <col min="10" max="11" width="0.140625" style="86" hidden="1" customWidth="1"/>
    <col min="12" max="13" width="12.140625" style="86" customWidth="1"/>
    <col min="14" max="14" width="13.140625" style="86" hidden="1" customWidth="1"/>
    <col min="15" max="15" width="7.28515625" style="86" customWidth="1"/>
    <col min="16" max="16" width="11.42578125" customWidth="1"/>
    <col min="17" max="17" width="0.140625" customWidth="1"/>
  </cols>
  <sheetData>
    <row r="1" spans="2:17" hidden="1" x14ac:dyDescent="0.2"/>
    <row r="2" spans="2:17" ht="15" x14ac:dyDescent="0.25">
      <c r="B2" s="289" t="s">
        <v>352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</row>
    <row r="3" spans="2:17" x14ac:dyDescent="0.2">
      <c r="B3" s="292" t="s">
        <v>416</v>
      </c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</row>
    <row r="4" spans="2:17" x14ac:dyDescent="0.2">
      <c r="B4" s="292" t="s">
        <v>410</v>
      </c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</row>
    <row r="5" spans="2:17" ht="6.75" customHeight="1" x14ac:dyDescent="0.2"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</row>
    <row r="6" spans="2:17" ht="0.75" customHeight="1" x14ac:dyDescent="0.2"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</row>
    <row r="7" spans="2:17" x14ac:dyDescent="0.2">
      <c r="B7" s="293" t="s">
        <v>43</v>
      </c>
      <c r="C7" s="294"/>
      <c r="D7" s="295" t="s">
        <v>17</v>
      </c>
      <c r="E7" s="295"/>
      <c r="F7" s="295"/>
      <c r="G7" s="295"/>
      <c r="H7" s="296" t="s">
        <v>44</v>
      </c>
      <c r="I7" s="296"/>
      <c r="J7" s="309" t="s">
        <v>400</v>
      </c>
      <c r="K7" s="309"/>
      <c r="L7" s="296" t="s">
        <v>45</v>
      </c>
      <c r="M7" s="297" t="s">
        <v>14</v>
      </c>
      <c r="N7" s="298"/>
      <c r="O7" s="311" t="s">
        <v>46</v>
      </c>
    </row>
    <row r="8" spans="2:17" ht="17.100000000000001" customHeight="1" x14ac:dyDescent="0.2">
      <c r="B8" s="293"/>
      <c r="C8" s="294"/>
      <c r="D8" s="295"/>
      <c r="E8" s="295"/>
      <c r="F8" s="295"/>
      <c r="G8" s="295"/>
      <c r="H8" s="296"/>
      <c r="I8" s="296"/>
      <c r="J8" s="310"/>
      <c r="K8" s="310"/>
      <c r="L8" s="296"/>
      <c r="M8" s="299"/>
      <c r="N8" s="300"/>
      <c r="O8" s="311"/>
    </row>
    <row r="9" spans="2:17" ht="15" customHeight="1" x14ac:dyDescent="0.2">
      <c r="B9" s="293"/>
      <c r="C9" s="294"/>
      <c r="D9" s="235" t="s">
        <v>47</v>
      </c>
      <c r="E9" s="235" t="s">
        <v>48</v>
      </c>
      <c r="F9" s="235" t="s">
        <v>49</v>
      </c>
      <c r="G9" s="235" t="s">
        <v>1</v>
      </c>
      <c r="H9" s="236" t="s">
        <v>18</v>
      </c>
      <c r="I9" s="237" t="s">
        <v>50</v>
      </c>
      <c r="J9" s="275"/>
      <c r="K9" s="276" t="s">
        <v>398</v>
      </c>
      <c r="L9" s="296"/>
      <c r="M9" s="238" t="s">
        <v>51</v>
      </c>
      <c r="N9" s="239" t="s">
        <v>16</v>
      </c>
      <c r="O9" s="311"/>
    </row>
    <row r="10" spans="2:17" x14ac:dyDescent="0.2">
      <c r="B10" s="162" t="s">
        <v>52</v>
      </c>
      <c r="C10" s="163" t="s">
        <v>53</v>
      </c>
      <c r="D10" s="164">
        <f>SUM(D11+D15+D19+D20+D21+D26+D30)</f>
        <v>91684300</v>
      </c>
      <c r="E10" s="164">
        <f t="shared" ref="E10:L10" si="0">SUM(E11+E15+E19+E20+E21+E26+E30)</f>
        <v>-9380628</v>
      </c>
      <c r="F10" s="164">
        <f t="shared" si="0"/>
        <v>82303672</v>
      </c>
      <c r="G10" s="164">
        <f t="shared" si="0"/>
        <v>74651784</v>
      </c>
      <c r="H10" s="164">
        <f t="shared" si="0"/>
        <v>8171835.6500000004</v>
      </c>
      <c r="I10" s="164">
        <f>SUM(I11+I15+I19+I20+I21+I26+I30)</f>
        <v>71804681.540000021</v>
      </c>
      <c r="J10" s="164">
        <f t="shared" ref="J10:J36" si="1">+I10+K10</f>
        <v>71804681.540000021</v>
      </c>
      <c r="K10" s="164">
        <f t="shared" ref="K10" si="2">SUM(K11+K15+K19+K20+K21+K26+K30)</f>
        <v>0</v>
      </c>
      <c r="L10" s="164">
        <f t="shared" si="0"/>
        <v>70772497.900000006</v>
      </c>
      <c r="M10" s="165">
        <f>+G10-I10</f>
        <v>2847102.4599999785</v>
      </c>
      <c r="N10" s="165">
        <f t="shared" ref="N10:N25" si="3">+F10-I10</f>
        <v>10498990.459999979</v>
      </c>
      <c r="O10" s="166">
        <f t="shared" ref="O10:O25" si="4">+I10*100/G10</f>
        <v>96.186156167413259</v>
      </c>
      <c r="Q10">
        <v>63632845.510000013</v>
      </c>
    </row>
    <row r="11" spans="2:17" ht="17.25" customHeight="1" x14ac:dyDescent="0.25">
      <c r="B11" s="162" t="s">
        <v>54</v>
      </c>
      <c r="C11" s="163" t="s">
        <v>55</v>
      </c>
      <c r="D11" s="164">
        <f>SUM(D12:D14)</f>
        <v>65773754</v>
      </c>
      <c r="E11" s="164">
        <f>SUM(E12:E14)</f>
        <v>-4814140</v>
      </c>
      <c r="F11" s="164">
        <f>+F12+F13+F14</f>
        <v>60959614</v>
      </c>
      <c r="G11" s="164">
        <f>SUM(G12:G14)</f>
        <v>55380219</v>
      </c>
      <c r="H11" s="164">
        <f>SUM(H12:H14)</f>
        <v>6007742.7800000003</v>
      </c>
      <c r="I11" s="164">
        <f>SUM(I12:I14)</f>
        <v>54261513.390000008</v>
      </c>
      <c r="J11" s="170">
        <f t="shared" si="1"/>
        <v>54261513.390000008</v>
      </c>
      <c r="K11" s="164">
        <f>SUM(K12:K14)</f>
        <v>0</v>
      </c>
      <c r="L11" s="164">
        <f>SUM(L12:L14)</f>
        <v>54491628.960000001</v>
      </c>
      <c r="M11" s="153">
        <f t="shared" ref="M11" si="5">+G11-J11</f>
        <v>1118705.609999992</v>
      </c>
      <c r="N11" s="153">
        <f t="shared" si="3"/>
        <v>6698100.609999992</v>
      </c>
      <c r="O11" s="172">
        <f t="shared" si="4"/>
        <v>97.979954521306624</v>
      </c>
      <c r="Q11">
        <v>48483886.229999997</v>
      </c>
    </row>
    <row r="12" spans="2:17" ht="13.5" x14ac:dyDescent="0.25">
      <c r="B12" s="168" t="s">
        <v>56</v>
      </c>
      <c r="C12" s="169" t="s">
        <v>55</v>
      </c>
      <c r="D12" s="170">
        <v>57411754</v>
      </c>
      <c r="E12" s="171">
        <v>-3858283</v>
      </c>
      <c r="F12" s="170">
        <f t="shared" ref="F12:F92" si="6">+D12+E12</f>
        <v>53553471</v>
      </c>
      <c r="G12" s="170">
        <v>48670925</v>
      </c>
      <c r="H12" s="170">
        <v>4556611.45</v>
      </c>
      <c r="I12" s="154">
        <f>+H12+Q12</f>
        <v>47854507.150000006</v>
      </c>
      <c r="J12" s="170">
        <f t="shared" si="1"/>
        <v>47854507.150000006</v>
      </c>
      <c r="K12" s="170"/>
      <c r="L12" s="170">
        <v>47854507.600000001</v>
      </c>
      <c r="M12" s="154">
        <f>+G12-I12</f>
        <v>816417.84999999404</v>
      </c>
      <c r="N12" s="154">
        <f t="shared" si="3"/>
        <v>5698963.849999994</v>
      </c>
      <c r="O12" s="167">
        <f t="shared" si="4"/>
        <v>98.322575849955612</v>
      </c>
      <c r="Q12">
        <v>43297895.700000003</v>
      </c>
    </row>
    <row r="13" spans="2:17" ht="13.5" x14ac:dyDescent="0.25">
      <c r="B13" s="168" t="s">
        <v>57</v>
      </c>
      <c r="C13" s="169" t="s">
        <v>58</v>
      </c>
      <c r="D13" s="170">
        <v>2377000</v>
      </c>
      <c r="E13" s="170">
        <v>-830655</v>
      </c>
      <c r="F13" s="170">
        <f t="shared" si="6"/>
        <v>1546345</v>
      </c>
      <c r="G13" s="170">
        <v>1314605</v>
      </c>
      <c r="H13" s="170">
        <v>135846</v>
      </c>
      <c r="I13" s="154">
        <f>+H13+Q13</f>
        <v>1206320.46</v>
      </c>
      <c r="J13" s="170">
        <f t="shared" si="1"/>
        <v>1206320.46</v>
      </c>
      <c r="K13" s="170"/>
      <c r="L13" s="170">
        <v>1206320.17</v>
      </c>
      <c r="M13" s="154">
        <f t="shared" ref="M13:M56" si="7">+G13-I13</f>
        <v>108284.54000000004</v>
      </c>
      <c r="N13" s="154">
        <f t="shared" si="3"/>
        <v>340024.54000000004</v>
      </c>
      <c r="O13" s="167">
        <f t="shared" si="4"/>
        <v>91.762959976570912</v>
      </c>
      <c r="Q13">
        <v>1070474.46</v>
      </c>
    </row>
    <row r="14" spans="2:17" ht="13.5" x14ac:dyDescent="0.25">
      <c r="B14" s="168" t="s">
        <v>59</v>
      </c>
      <c r="C14" s="169" t="s">
        <v>60</v>
      </c>
      <c r="D14" s="170">
        <v>5985000</v>
      </c>
      <c r="E14" s="170">
        <f>-125202</f>
        <v>-125202</v>
      </c>
      <c r="F14" s="170">
        <f>+D14+E14</f>
        <v>5859798</v>
      </c>
      <c r="G14" s="170">
        <v>5394689</v>
      </c>
      <c r="H14" s="170">
        <v>1315285.33</v>
      </c>
      <c r="I14" s="154">
        <f>+H14+Q14</f>
        <v>5200685.78</v>
      </c>
      <c r="J14" s="170">
        <f t="shared" si="1"/>
        <v>5200685.78</v>
      </c>
      <c r="K14" s="170"/>
      <c r="L14" s="170">
        <v>5430801.1900000004</v>
      </c>
      <c r="M14" s="154">
        <f t="shared" si="7"/>
        <v>194003.21999999974</v>
      </c>
      <c r="N14" s="154">
        <f t="shared" si="3"/>
        <v>659112.21999999974</v>
      </c>
      <c r="O14" s="167">
        <f t="shared" si="4"/>
        <v>96.403810859161666</v>
      </c>
      <c r="Q14">
        <f>4115516.45-230116</f>
        <v>3885400.45</v>
      </c>
    </row>
    <row r="15" spans="2:17" x14ac:dyDescent="0.2">
      <c r="B15" s="162" t="s">
        <v>61</v>
      </c>
      <c r="C15" s="163" t="s">
        <v>62</v>
      </c>
      <c r="D15" s="164">
        <f>SUM(D16:D18)</f>
        <v>11564346</v>
      </c>
      <c r="E15" s="164">
        <f>SUM(E16:E18)</f>
        <v>-3470286.32</v>
      </c>
      <c r="F15" s="164">
        <f t="shared" si="6"/>
        <v>8094059.6799999997</v>
      </c>
      <c r="G15" s="164">
        <f>+G16+G17+G18</f>
        <v>7023691.6799999997</v>
      </c>
      <c r="H15" s="164">
        <f>SUM(H16:H18)</f>
        <v>572536.19999999995</v>
      </c>
      <c r="I15" s="164">
        <f>SUM(I16:I18)</f>
        <v>6603883.96</v>
      </c>
      <c r="J15" s="164">
        <f t="shared" si="1"/>
        <v>6603883.96</v>
      </c>
      <c r="K15" s="164">
        <f>SUM(K16:K18)</f>
        <v>0</v>
      </c>
      <c r="L15" s="164">
        <f>SUM(L16:L18)</f>
        <v>6373768.459999999</v>
      </c>
      <c r="M15" s="153">
        <f t="shared" si="7"/>
        <v>419807.71999999974</v>
      </c>
      <c r="N15" s="153">
        <f t="shared" si="3"/>
        <v>1490175.7199999997</v>
      </c>
      <c r="O15" s="172">
        <f t="shared" si="4"/>
        <v>94.022976247727328</v>
      </c>
      <c r="Q15">
        <v>5801231.7599999998</v>
      </c>
    </row>
    <row r="16" spans="2:17" ht="13.5" x14ac:dyDescent="0.25">
      <c r="B16" s="168" t="s">
        <v>63</v>
      </c>
      <c r="C16" s="169" t="s">
        <v>64</v>
      </c>
      <c r="D16" s="170">
        <v>220031</v>
      </c>
      <c r="E16" s="170">
        <v>-20662</v>
      </c>
      <c r="F16" s="170">
        <f t="shared" si="6"/>
        <v>199369</v>
      </c>
      <c r="G16" s="154">
        <v>171297</v>
      </c>
      <c r="H16" s="154">
        <v>22375.61</v>
      </c>
      <c r="I16" s="154">
        <f>+H16+Q16</f>
        <v>161439.49</v>
      </c>
      <c r="J16" s="170">
        <f t="shared" si="1"/>
        <v>161439.49</v>
      </c>
      <c r="K16" s="154"/>
      <c r="L16" s="154">
        <v>161439.65</v>
      </c>
      <c r="M16" s="154">
        <f t="shared" si="7"/>
        <v>9857.5100000000093</v>
      </c>
      <c r="N16" s="154">
        <f t="shared" si="3"/>
        <v>37929.510000000009</v>
      </c>
      <c r="O16" s="167">
        <f t="shared" si="4"/>
        <v>94.24536915415915</v>
      </c>
      <c r="Q16">
        <v>139063.88</v>
      </c>
    </row>
    <row r="17" spans="2:17" ht="13.5" x14ac:dyDescent="0.25">
      <c r="B17" s="168" t="s">
        <v>65</v>
      </c>
      <c r="C17" s="169" t="s">
        <v>66</v>
      </c>
      <c r="D17" s="170">
        <v>1609980</v>
      </c>
      <c r="E17" s="170">
        <v>-86772</v>
      </c>
      <c r="F17" s="170">
        <f t="shared" si="6"/>
        <v>1523208</v>
      </c>
      <c r="G17" s="170">
        <v>1389043</v>
      </c>
      <c r="H17" s="170">
        <v>121418.1</v>
      </c>
      <c r="I17" s="154">
        <f>+H17+Q17</f>
        <v>1358569.47</v>
      </c>
      <c r="J17" s="170">
        <f t="shared" si="1"/>
        <v>1358569.47</v>
      </c>
      <c r="K17" s="170"/>
      <c r="L17" s="170">
        <v>1358569.54</v>
      </c>
      <c r="M17" s="154">
        <f t="shared" si="7"/>
        <v>30473.530000000028</v>
      </c>
      <c r="N17" s="154">
        <f t="shared" si="3"/>
        <v>164638.53000000003</v>
      </c>
      <c r="O17" s="167">
        <f t="shared" si="4"/>
        <v>97.806149269677036</v>
      </c>
      <c r="Q17">
        <v>1237151.3699999999</v>
      </c>
    </row>
    <row r="18" spans="2:17" ht="13.5" x14ac:dyDescent="0.25">
      <c r="B18" s="168" t="s">
        <v>67</v>
      </c>
      <c r="C18" s="169" t="s">
        <v>68</v>
      </c>
      <c r="D18" s="170">
        <v>9734335</v>
      </c>
      <c r="E18" s="170">
        <v>-3362852.32</v>
      </c>
      <c r="F18" s="170">
        <f t="shared" si="6"/>
        <v>6371482.6799999997</v>
      </c>
      <c r="G18" s="170">
        <v>5463351.6799999997</v>
      </c>
      <c r="H18" s="170">
        <v>428742.49</v>
      </c>
      <c r="I18" s="154">
        <f>+H18+Q18</f>
        <v>5083875</v>
      </c>
      <c r="J18" s="170">
        <f t="shared" si="1"/>
        <v>5083875</v>
      </c>
      <c r="K18" s="170"/>
      <c r="L18" s="170">
        <v>4853759.2699999996</v>
      </c>
      <c r="M18" s="154">
        <f t="shared" si="7"/>
        <v>379476.6799999997</v>
      </c>
      <c r="N18" s="154">
        <f t="shared" si="3"/>
        <v>1287607.6799999997</v>
      </c>
      <c r="O18" s="167">
        <f t="shared" si="4"/>
        <v>93.054141446007009</v>
      </c>
      <c r="Q18">
        <f>4425016.51+230116</f>
        <v>4655132.51</v>
      </c>
    </row>
    <row r="19" spans="2:17" x14ac:dyDescent="0.2">
      <c r="B19" s="162" t="s">
        <v>69</v>
      </c>
      <c r="C19" s="163" t="s">
        <v>70</v>
      </c>
      <c r="D19" s="164">
        <v>216900</v>
      </c>
      <c r="E19" s="164">
        <v>-7077</v>
      </c>
      <c r="F19" s="164">
        <f t="shared" si="6"/>
        <v>209823</v>
      </c>
      <c r="G19" s="164">
        <v>193123</v>
      </c>
      <c r="H19" s="164">
        <v>17400</v>
      </c>
      <c r="I19" s="153">
        <f>+H19+Q19</f>
        <v>185406.34000000003</v>
      </c>
      <c r="J19" s="164">
        <f t="shared" si="1"/>
        <v>185406.34000000003</v>
      </c>
      <c r="K19" s="164"/>
      <c r="L19" s="164">
        <v>185406.67</v>
      </c>
      <c r="M19" s="153">
        <f t="shared" si="7"/>
        <v>7716.6599999999744</v>
      </c>
      <c r="N19" s="153">
        <f t="shared" si="3"/>
        <v>24416.659999999974</v>
      </c>
      <c r="O19" s="172">
        <f t="shared" si="4"/>
        <v>96.004277066946997</v>
      </c>
      <c r="Q19">
        <v>168006.34000000003</v>
      </c>
    </row>
    <row r="20" spans="2:17" x14ac:dyDescent="0.2">
      <c r="B20" s="162" t="s">
        <v>71</v>
      </c>
      <c r="C20" s="163" t="s">
        <v>72</v>
      </c>
      <c r="D20" s="164">
        <v>2140743</v>
      </c>
      <c r="E20" s="164">
        <v>-490286</v>
      </c>
      <c r="F20" s="164">
        <f t="shared" si="6"/>
        <v>1650457</v>
      </c>
      <c r="G20" s="153">
        <v>1650457</v>
      </c>
      <c r="H20" s="153">
        <v>548159</v>
      </c>
      <c r="I20" s="153">
        <f>+H20+Q20</f>
        <v>1583711.1</v>
      </c>
      <c r="J20" s="164">
        <f t="shared" si="1"/>
        <v>1583711.1</v>
      </c>
      <c r="K20" s="153"/>
      <c r="L20" s="153">
        <v>1583710.95</v>
      </c>
      <c r="M20" s="153">
        <f t="shared" si="7"/>
        <v>66745.899999999907</v>
      </c>
      <c r="N20" s="153">
        <f t="shared" si="3"/>
        <v>66745.899999999907</v>
      </c>
      <c r="O20" s="172">
        <f t="shared" si="4"/>
        <v>95.955914028659947</v>
      </c>
      <c r="Q20" s="1">
        <v>1035552.1000000001</v>
      </c>
    </row>
    <row r="21" spans="2:17" x14ac:dyDescent="0.2">
      <c r="B21" s="162" t="s">
        <v>73</v>
      </c>
      <c r="C21" s="163" t="s">
        <v>74</v>
      </c>
      <c r="D21" s="164">
        <f>SUM(D22:D25)</f>
        <v>11454557</v>
      </c>
      <c r="E21" s="164">
        <f>SUM(E22:E25)</f>
        <v>-777338.67999999993</v>
      </c>
      <c r="F21" s="164">
        <f t="shared" si="6"/>
        <v>10677218.32</v>
      </c>
      <c r="G21" s="164">
        <f>SUM(G22:G25)</f>
        <v>9691793.3200000003</v>
      </c>
      <c r="H21" s="164">
        <f>SUM(H22:H25)</f>
        <v>1025997.6699999999</v>
      </c>
      <c r="I21" s="164">
        <f>SUM(I22:I25)</f>
        <v>9123280.660000002</v>
      </c>
      <c r="J21" s="164">
        <f t="shared" si="1"/>
        <v>9123280.660000002</v>
      </c>
      <c r="K21" s="164">
        <f>SUM(K22:K25)</f>
        <v>0</v>
      </c>
      <c r="L21" s="164">
        <f>SUM(L22:L25)</f>
        <v>8091096.6899999995</v>
      </c>
      <c r="M21" s="153">
        <f t="shared" si="7"/>
        <v>568512.65999999829</v>
      </c>
      <c r="N21" s="153">
        <f t="shared" si="3"/>
        <v>1553937.6599999983</v>
      </c>
      <c r="O21" s="172">
        <f t="shared" si="4"/>
        <v>94.13408188527076</v>
      </c>
      <c r="Q21">
        <v>8097282.9900000012</v>
      </c>
    </row>
    <row r="22" spans="2:17" ht="13.5" x14ac:dyDescent="0.25">
      <c r="B22" s="168" t="s">
        <v>75</v>
      </c>
      <c r="C22" s="171" t="s">
        <v>76</v>
      </c>
      <c r="D22" s="170">
        <v>8902342</v>
      </c>
      <c r="E22" s="170">
        <v>-494086.68</v>
      </c>
      <c r="F22" s="170">
        <f t="shared" si="6"/>
        <v>8408255.3200000003</v>
      </c>
      <c r="G22" s="170">
        <v>7636507.3200000003</v>
      </c>
      <c r="H22" s="170">
        <v>868460.49</v>
      </c>
      <c r="I22" s="154">
        <f>+Q22+H22</f>
        <v>7636507.5200000005</v>
      </c>
      <c r="J22" s="170">
        <f t="shared" si="1"/>
        <v>7636507.5200000005</v>
      </c>
      <c r="K22" s="170"/>
      <c r="L22" s="170">
        <v>6801872.5099999998</v>
      </c>
      <c r="M22" s="154">
        <f t="shared" si="7"/>
        <v>-0.20000000018626451</v>
      </c>
      <c r="N22" s="154">
        <f t="shared" si="3"/>
        <v>771747.79999999981</v>
      </c>
      <c r="O22" s="167">
        <f t="shared" si="4"/>
        <v>100.00000261899834</v>
      </c>
      <c r="Q22">
        <f>6803944.03-35897</f>
        <v>6768047.0300000003</v>
      </c>
    </row>
    <row r="23" spans="2:17" ht="13.5" x14ac:dyDescent="0.25">
      <c r="B23" s="168" t="s">
        <v>77</v>
      </c>
      <c r="C23" s="169" t="s">
        <v>78</v>
      </c>
      <c r="D23" s="170">
        <v>1160091</v>
      </c>
      <c r="E23" s="170">
        <v>-79220</v>
      </c>
      <c r="F23" s="170">
        <f t="shared" si="6"/>
        <v>1080871</v>
      </c>
      <c r="G23" s="170">
        <v>983679</v>
      </c>
      <c r="H23" s="170">
        <v>98673.34</v>
      </c>
      <c r="I23" s="154">
        <f>+Q23+H23</f>
        <v>950473.51</v>
      </c>
      <c r="J23" s="170">
        <f t="shared" si="1"/>
        <v>950473.51</v>
      </c>
      <c r="K23" s="170"/>
      <c r="L23" s="170">
        <v>813788.69</v>
      </c>
      <c r="M23" s="154">
        <f t="shared" si="7"/>
        <v>33205.489999999991</v>
      </c>
      <c r="N23" s="154">
        <f t="shared" si="3"/>
        <v>130397.48999999999</v>
      </c>
      <c r="O23" s="167">
        <f t="shared" si="4"/>
        <v>96.624357132763834</v>
      </c>
      <c r="Q23">
        <f>815903.17+35897</f>
        <v>851800.17</v>
      </c>
    </row>
    <row r="24" spans="2:17" ht="13.5" x14ac:dyDescent="0.25">
      <c r="B24" s="168" t="s">
        <v>79</v>
      </c>
      <c r="C24" s="169" t="s">
        <v>80</v>
      </c>
      <c r="D24" s="170">
        <v>1160091</v>
      </c>
      <c r="E24" s="170">
        <v>-190098</v>
      </c>
      <c r="F24" s="170">
        <f t="shared" si="6"/>
        <v>969993</v>
      </c>
      <c r="G24" s="170">
        <v>872823</v>
      </c>
      <c r="H24" s="170">
        <v>46175.32</v>
      </c>
      <c r="I24" s="154">
        <f>+Q24+H24</f>
        <v>428120.98</v>
      </c>
      <c r="J24" s="170">
        <f t="shared" si="1"/>
        <v>428120.98</v>
      </c>
      <c r="K24" s="170"/>
      <c r="L24" s="170">
        <v>379988.49</v>
      </c>
      <c r="M24" s="154">
        <f t="shared" si="7"/>
        <v>444702.02</v>
      </c>
      <c r="N24" s="154">
        <f t="shared" si="3"/>
        <v>541872.02</v>
      </c>
      <c r="O24" s="167">
        <f t="shared" si="4"/>
        <v>49.050148770140112</v>
      </c>
      <c r="Q24">
        <v>381945.66</v>
      </c>
    </row>
    <row r="25" spans="2:17" ht="13.5" x14ac:dyDescent="0.25">
      <c r="B25" s="168" t="s">
        <v>81</v>
      </c>
      <c r="C25" s="169" t="s">
        <v>82</v>
      </c>
      <c r="D25" s="170">
        <v>232033</v>
      </c>
      <c r="E25" s="170">
        <v>-13934</v>
      </c>
      <c r="F25" s="170">
        <f t="shared" si="6"/>
        <v>218099</v>
      </c>
      <c r="G25" s="170">
        <v>198784</v>
      </c>
      <c r="H25" s="170">
        <v>12688.52</v>
      </c>
      <c r="I25" s="154">
        <f>+Q25+H25</f>
        <v>108178.65000000001</v>
      </c>
      <c r="J25" s="170">
        <f t="shared" si="1"/>
        <v>108178.65000000001</v>
      </c>
      <c r="K25" s="170"/>
      <c r="L25" s="170">
        <v>95447</v>
      </c>
      <c r="M25" s="154">
        <f t="shared" si="7"/>
        <v>90605.349999999991</v>
      </c>
      <c r="N25" s="154">
        <f t="shared" si="3"/>
        <v>109920.34999999999</v>
      </c>
      <c r="O25" s="167">
        <f t="shared" si="4"/>
        <v>54.420199814874437</v>
      </c>
      <c r="Q25">
        <v>95490.13</v>
      </c>
    </row>
    <row r="26" spans="2:17" ht="13.5" x14ac:dyDescent="0.25">
      <c r="B26" s="162" t="s">
        <v>83</v>
      </c>
      <c r="C26" s="163" t="s">
        <v>84</v>
      </c>
      <c r="D26" s="164">
        <f>SUM(D27:D29)</f>
        <v>534000</v>
      </c>
      <c r="E26" s="164">
        <f t="shared" ref="E26:N26" si="8">SUM(E27:E29)</f>
        <v>83500</v>
      </c>
      <c r="F26" s="164">
        <f>SUM(F27:F29)</f>
        <v>617500</v>
      </c>
      <c r="G26" s="164">
        <f t="shared" si="8"/>
        <v>617500</v>
      </c>
      <c r="H26" s="164">
        <f t="shared" si="8"/>
        <v>0</v>
      </c>
      <c r="I26" s="164">
        <f t="shared" si="8"/>
        <v>0</v>
      </c>
      <c r="J26" s="170">
        <f t="shared" si="1"/>
        <v>0</v>
      </c>
      <c r="K26" s="164">
        <f t="shared" ref="K26" si="9">SUM(K27:K29)</f>
        <v>0</v>
      </c>
      <c r="L26" s="164">
        <f t="shared" si="8"/>
        <v>0</v>
      </c>
      <c r="M26" s="153">
        <f t="shared" si="7"/>
        <v>617500</v>
      </c>
      <c r="N26" s="164">
        <f t="shared" si="8"/>
        <v>0</v>
      </c>
      <c r="O26" s="167" t="s">
        <v>2</v>
      </c>
      <c r="Q26">
        <v>0</v>
      </c>
    </row>
    <row r="27" spans="2:17" ht="13.5" x14ac:dyDescent="0.25">
      <c r="B27" s="173" t="s">
        <v>366</v>
      </c>
      <c r="C27" s="169" t="s">
        <v>369</v>
      </c>
      <c r="D27" s="170">
        <v>489000</v>
      </c>
      <c r="E27" s="170">
        <v>121000</v>
      </c>
      <c r="F27" s="170">
        <f t="shared" si="6"/>
        <v>610000</v>
      </c>
      <c r="G27" s="154">
        <v>610000</v>
      </c>
      <c r="H27" s="154">
        <v>0</v>
      </c>
      <c r="I27" s="154"/>
      <c r="J27" s="170">
        <f t="shared" si="1"/>
        <v>0</v>
      </c>
      <c r="K27" s="154">
        <v>0</v>
      </c>
      <c r="L27" s="154"/>
      <c r="M27" s="154">
        <f t="shared" si="7"/>
        <v>610000</v>
      </c>
      <c r="N27" s="154"/>
      <c r="O27" s="167"/>
    </row>
    <row r="28" spans="2:17" ht="13.5" x14ac:dyDescent="0.25">
      <c r="B28" s="173" t="s">
        <v>367</v>
      </c>
      <c r="C28" s="169" t="s">
        <v>370</v>
      </c>
      <c r="D28" s="170">
        <v>15000</v>
      </c>
      <c r="E28" s="170">
        <v>-7500</v>
      </c>
      <c r="F28" s="170">
        <f t="shared" si="6"/>
        <v>7500</v>
      </c>
      <c r="G28" s="154">
        <v>7500</v>
      </c>
      <c r="H28" s="154"/>
      <c r="I28" s="154"/>
      <c r="J28" s="170">
        <f t="shared" si="1"/>
        <v>0</v>
      </c>
      <c r="K28" s="154"/>
      <c r="L28" s="154"/>
      <c r="M28" s="154">
        <f t="shared" si="7"/>
        <v>7500</v>
      </c>
      <c r="N28" s="154"/>
      <c r="O28" s="167"/>
    </row>
    <row r="29" spans="2:17" ht="15" customHeight="1" x14ac:dyDescent="0.25">
      <c r="B29" s="173" t="s">
        <v>368</v>
      </c>
      <c r="C29" s="169" t="s">
        <v>371</v>
      </c>
      <c r="D29" s="170">
        <v>30000</v>
      </c>
      <c r="E29" s="170">
        <v>-30000</v>
      </c>
      <c r="F29" s="170">
        <f t="shared" si="6"/>
        <v>0</v>
      </c>
      <c r="G29" s="154">
        <v>0</v>
      </c>
      <c r="H29" s="154"/>
      <c r="I29" s="154"/>
      <c r="J29" s="170">
        <f t="shared" si="1"/>
        <v>0</v>
      </c>
      <c r="K29" s="154"/>
      <c r="L29" s="154"/>
      <c r="M29" s="154">
        <f t="shared" si="7"/>
        <v>0</v>
      </c>
      <c r="N29" s="154"/>
      <c r="O29" s="167"/>
    </row>
    <row r="30" spans="2:17" ht="15.75" customHeight="1" x14ac:dyDescent="0.25">
      <c r="B30" s="162" t="s">
        <v>85</v>
      </c>
      <c r="C30" s="163" t="s">
        <v>86</v>
      </c>
      <c r="D30" s="164">
        <f>SUM(D31:D36)</f>
        <v>0</v>
      </c>
      <c r="E30" s="164">
        <f>SUM(E31:E36)</f>
        <v>95000</v>
      </c>
      <c r="F30" s="164">
        <f t="shared" si="6"/>
        <v>95000</v>
      </c>
      <c r="G30" s="164">
        <f t="shared" ref="G30:L30" si="10">SUM(G31:G36)</f>
        <v>95000</v>
      </c>
      <c r="H30" s="164">
        <f t="shared" si="10"/>
        <v>0</v>
      </c>
      <c r="I30" s="164">
        <f t="shared" si="10"/>
        <v>46886.090000000004</v>
      </c>
      <c r="J30" s="170">
        <f t="shared" si="1"/>
        <v>46886.090000000004</v>
      </c>
      <c r="K30" s="164">
        <f t="shared" si="10"/>
        <v>0</v>
      </c>
      <c r="L30" s="164">
        <f t="shared" si="10"/>
        <v>46886.170000000006</v>
      </c>
      <c r="M30" s="153">
        <f t="shared" si="7"/>
        <v>48113.909999999996</v>
      </c>
      <c r="N30" s="153">
        <f t="shared" ref="N30:N57" si="11">+F30-I30</f>
        <v>48113.909999999996</v>
      </c>
      <c r="O30" s="172">
        <f t="shared" ref="O30:O56" si="12">+I30*100/G30</f>
        <v>49.353778947368419</v>
      </c>
      <c r="Q30">
        <v>46886.090000000004</v>
      </c>
    </row>
    <row r="31" spans="2:17" ht="13.5" customHeight="1" x14ac:dyDescent="0.25">
      <c r="B31" s="168" t="s">
        <v>87</v>
      </c>
      <c r="C31" s="169" t="s">
        <v>88</v>
      </c>
      <c r="D31" s="170">
        <v>0</v>
      </c>
      <c r="E31" s="170">
        <v>60000</v>
      </c>
      <c r="F31" s="170">
        <f t="shared" si="6"/>
        <v>60000</v>
      </c>
      <c r="G31" s="154">
        <v>60000</v>
      </c>
      <c r="H31" s="154">
        <v>0</v>
      </c>
      <c r="I31" s="154">
        <f>+H31+Q31</f>
        <v>38145.89</v>
      </c>
      <c r="J31" s="170">
        <f t="shared" si="1"/>
        <v>38145.89</v>
      </c>
      <c r="K31" s="154"/>
      <c r="L31" s="154">
        <v>38145.980000000003</v>
      </c>
      <c r="M31" s="154">
        <f t="shared" si="7"/>
        <v>21854.11</v>
      </c>
      <c r="N31" s="154">
        <f t="shared" si="11"/>
        <v>21854.11</v>
      </c>
      <c r="O31" s="167">
        <f t="shared" si="12"/>
        <v>63.576483333333336</v>
      </c>
      <c r="Q31">
        <v>38145.89</v>
      </c>
    </row>
    <row r="32" spans="2:17" ht="14.25" customHeight="1" x14ac:dyDescent="0.25">
      <c r="B32" s="168" t="s">
        <v>89</v>
      </c>
      <c r="C32" s="169" t="s">
        <v>297</v>
      </c>
      <c r="D32" s="170"/>
      <c r="E32" s="170">
        <v>10000</v>
      </c>
      <c r="F32" s="170">
        <f t="shared" si="6"/>
        <v>10000</v>
      </c>
      <c r="G32" s="154">
        <v>10000</v>
      </c>
      <c r="H32" s="154"/>
      <c r="I32" s="154">
        <f>+H32+Q32</f>
        <v>0</v>
      </c>
      <c r="J32" s="170">
        <f t="shared" si="1"/>
        <v>0</v>
      </c>
      <c r="K32" s="154"/>
      <c r="L32" s="154"/>
      <c r="M32" s="154">
        <f t="shared" si="7"/>
        <v>10000</v>
      </c>
      <c r="N32" s="154">
        <f t="shared" si="11"/>
        <v>10000</v>
      </c>
      <c r="O32" s="167">
        <f t="shared" si="12"/>
        <v>0</v>
      </c>
      <c r="Q32">
        <v>0</v>
      </c>
    </row>
    <row r="33" spans="2:17" ht="12" customHeight="1" x14ac:dyDescent="0.25">
      <c r="B33" s="173" t="s">
        <v>332</v>
      </c>
      <c r="C33" s="169" t="s">
        <v>333</v>
      </c>
      <c r="D33" s="170"/>
      <c r="E33" s="170">
        <v>2000</v>
      </c>
      <c r="F33" s="170">
        <f t="shared" si="6"/>
        <v>2000</v>
      </c>
      <c r="G33" s="154">
        <v>2000</v>
      </c>
      <c r="H33" s="154"/>
      <c r="I33" s="154">
        <f>+H33+Q33</f>
        <v>0</v>
      </c>
      <c r="J33" s="170">
        <f t="shared" si="1"/>
        <v>0</v>
      </c>
      <c r="K33" s="154"/>
      <c r="L33" s="154"/>
      <c r="M33" s="154">
        <f t="shared" si="7"/>
        <v>2000</v>
      </c>
      <c r="N33" s="154">
        <f t="shared" si="11"/>
        <v>2000</v>
      </c>
      <c r="O33" s="167">
        <f t="shared" si="12"/>
        <v>0</v>
      </c>
      <c r="Q33">
        <v>0</v>
      </c>
    </row>
    <row r="34" spans="2:17" ht="14.25" customHeight="1" x14ac:dyDescent="0.25">
      <c r="B34" s="168" t="s">
        <v>312</v>
      </c>
      <c r="C34" s="169" t="s">
        <v>313</v>
      </c>
      <c r="D34" s="170"/>
      <c r="E34" s="170">
        <v>10000</v>
      </c>
      <c r="F34" s="170">
        <f t="shared" si="6"/>
        <v>10000</v>
      </c>
      <c r="G34" s="154">
        <v>10000</v>
      </c>
      <c r="H34" s="154">
        <v>0</v>
      </c>
      <c r="I34" s="154">
        <f>+H34+Q34</f>
        <v>2453.19</v>
      </c>
      <c r="J34" s="170">
        <f t="shared" si="1"/>
        <v>2453.19</v>
      </c>
      <c r="K34" s="154"/>
      <c r="L34" s="154">
        <v>2453.19</v>
      </c>
      <c r="M34" s="154">
        <f t="shared" si="7"/>
        <v>7546.8099999999995</v>
      </c>
      <c r="N34" s="154">
        <f t="shared" si="11"/>
        <v>7546.8099999999995</v>
      </c>
      <c r="O34" s="167">
        <f t="shared" si="12"/>
        <v>24.5319</v>
      </c>
      <c r="Q34">
        <v>2453.19</v>
      </c>
    </row>
    <row r="35" spans="2:17" ht="14.25" customHeight="1" x14ac:dyDescent="0.25">
      <c r="B35" s="173" t="s">
        <v>380</v>
      </c>
      <c r="C35" s="169" t="s">
        <v>381</v>
      </c>
      <c r="D35" s="170"/>
      <c r="E35" s="170">
        <v>1000</v>
      </c>
      <c r="F35" s="170">
        <f t="shared" si="6"/>
        <v>1000</v>
      </c>
      <c r="G35" s="154">
        <v>1000</v>
      </c>
      <c r="H35" s="154">
        <v>0</v>
      </c>
      <c r="I35" s="154">
        <f>+H35+Q35</f>
        <v>600</v>
      </c>
      <c r="J35" s="170">
        <f t="shared" si="1"/>
        <v>600</v>
      </c>
      <c r="K35" s="154"/>
      <c r="L35" s="154">
        <v>600</v>
      </c>
      <c r="M35" s="154">
        <f t="shared" si="7"/>
        <v>400</v>
      </c>
      <c r="N35" s="154">
        <f t="shared" si="11"/>
        <v>400</v>
      </c>
      <c r="O35" s="167">
        <f t="shared" si="12"/>
        <v>60</v>
      </c>
      <c r="Q35">
        <v>600</v>
      </c>
    </row>
    <row r="36" spans="2:17" ht="12" customHeight="1" x14ac:dyDescent="0.25">
      <c r="B36" s="168" t="s">
        <v>298</v>
      </c>
      <c r="C36" s="169" t="s">
        <v>299</v>
      </c>
      <c r="D36" s="170">
        <v>0</v>
      </c>
      <c r="E36" s="170">
        <v>12000</v>
      </c>
      <c r="F36" s="170">
        <f t="shared" si="6"/>
        <v>12000</v>
      </c>
      <c r="G36" s="154">
        <v>12000</v>
      </c>
      <c r="H36" s="154">
        <v>0</v>
      </c>
      <c r="I36" s="154">
        <f>+Q36+H36</f>
        <v>5687.01</v>
      </c>
      <c r="J36" s="170">
        <f t="shared" si="1"/>
        <v>5687.01</v>
      </c>
      <c r="K36" s="154"/>
      <c r="L36" s="154">
        <v>5687</v>
      </c>
      <c r="M36" s="154">
        <f t="shared" si="7"/>
        <v>6312.99</v>
      </c>
      <c r="N36" s="154">
        <f t="shared" si="11"/>
        <v>6312.99</v>
      </c>
      <c r="O36" s="167">
        <f t="shared" si="12"/>
        <v>47.391750000000002</v>
      </c>
      <c r="Q36">
        <v>5687.01</v>
      </c>
    </row>
    <row r="37" spans="2:17" ht="18.75" customHeight="1" x14ac:dyDescent="0.2">
      <c r="B37" s="162" t="s">
        <v>90</v>
      </c>
      <c r="C37" s="163" t="s">
        <v>91</v>
      </c>
      <c r="D37" s="164">
        <f>D38+D45+D53++D54+D70+D79+D86+D89+D96+D74</f>
        <v>6154000</v>
      </c>
      <c r="E37" s="164">
        <f>E38+E45+E53++E54+E70+E79+E86+E89+E96+E74</f>
        <v>-173154</v>
      </c>
      <c r="F37" s="164">
        <f>F38+F45+F53++F54+F70+F79+F86+F89+F96+F74</f>
        <v>5980846</v>
      </c>
      <c r="G37" s="164">
        <f>+G38+G45+G53+G54+G70+G74+G79+G86+G89+G96</f>
        <v>5568477</v>
      </c>
      <c r="H37" s="164">
        <f>H38+H45+H53++H54+H70+H79+H86+H89+H96+H74</f>
        <v>519955.75</v>
      </c>
      <c r="I37" s="164">
        <f>I38+I45+I53++I54+I70+I79+I86+I89+I96+I74</f>
        <v>4500392.9799999995</v>
      </c>
      <c r="J37" s="164">
        <f>+I37+K37</f>
        <v>5266585.17</v>
      </c>
      <c r="K37" s="164">
        <f>K38+K45+K53++K54+K70+K79+K86+K89+K96+K74</f>
        <v>766192.19000000006</v>
      </c>
      <c r="L37" s="164">
        <f>L38+L45+L53++L54+L70+L79+L86+L89+L96+L74</f>
        <v>3436710.7199999997</v>
      </c>
      <c r="M37" s="153">
        <f t="shared" si="7"/>
        <v>1068084.0200000005</v>
      </c>
      <c r="N37" s="153">
        <f t="shared" si="11"/>
        <v>1480453.0200000005</v>
      </c>
      <c r="O37" s="172">
        <f t="shared" si="12"/>
        <v>80.819099728704984</v>
      </c>
      <c r="Q37">
        <v>3980534.2300000004</v>
      </c>
    </row>
    <row r="38" spans="2:17" ht="15.75" customHeight="1" x14ac:dyDescent="0.25">
      <c r="B38" s="162">
        <v>100</v>
      </c>
      <c r="C38" s="163" t="s">
        <v>92</v>
      </c>
      <c r="D38" s="164">
        <f>SUM(D39:D44)</f>
        <v>127000</v>
      </c>
      <c r="E38" s="164">
        <f>SUM(E39:E44)</f>
        <v>-38530</v>
      </c>
      <c r="F38" s="164">
        <f t="shared" si="6"/>
        <v>88470</v>
      </c>
      <c r="G38" s="164">
        <f>SUM(G39:G44)</f>
        <v>88470</v>
      </c>
      <c r="H38" s="164">
        <f>SUM(H39:H44)</f>
        <v>0</v>
      </c>
      <c r="I38" s="164">
        <f>SUM(I39:I44)</f>
        <v>72858.92</v>
      </c>
      <c r="J38" s="170">
        <f t="shared" ref="J38:J56" si="13">+I38+K38</f>
        <v>118109.31</v>
      </c>
      <c r="K38" s="164">
        <f>SUM(K39:K44)</f>
        <v>45250.39</v>
      </c>
      <c r="L38" s="164">
        <f>SUM(L39:L44)</f>
        <v>23491.21</v>
      </c>
      <c r="M38" s="153">
        <f t="shared" si="7"/>
        <v>15611.080000000002</v>
      </c>
      <c r="N38" s="153">
        <f t="shared" si="11"/>
        <v>15611.080000000002</v>
      </c>
      <c r="O38" s="172">
        <f t="shared" si="12"/>
        <v>82.354380015824574</v>
      </c>
      <c r="Q38">
        <v>72858.92</v>
      </c>
    </row>
    <row r="39" spans="2:17" ht="13.5" x14ac:dyDescent="0.25">
      <c r="B39" s="174" t="s">
        <v>93</v>
      </c>
      <c r="C39" s="171" t="s">
        <v>94</v>
      </c>
      <c r="D39" s="170">
        <v>20050</v>
      </c>
      <c r="E39" s="170">
        <v>-10130</v>
      </c>
      <c r="F39" s="170">
        <f t="shared" si="6"/>
        <v>9920</v>
      </c>
      <c r="G39" s="154">
        <v>9920</v>
      </c>
      <c r="H39" s="154">
        <v>0</v>
      </c>
      <c r="I39" s="154">
        <f>+H39+Q39</f>
        <v>5360</v>
      </c>
      <c r="J39" s="170">
        <f t="shared" si="13"/>
        <v>6140</v>
      </c>
      <c r="K39" s="154">
        <v>780</v>
      </c>
      <c r="L39" s="154">
        <v>5360</v>
      </c>
      <c r="M39" s="154">
        <f t="shared" si="7"/>
        <v>4560</v>
      </c>
      <c r="N39" s="154">
        <f t="shared" si="11"/>
        <v>4560</v>
      </c>
      <c r="O39" s="167">
        <f t="shared" si="12"/>
        <v>54.032258064516128</v>
      </c>
      <c r="Q39">
        <v>5360</v>
      </c>
    </row>
    <row r="40" spans="2:17" ht="13.5" x14ac:dyDescent="0.25">
      <c r="B40" s="168" t="s">
        <v>95</v>
      </c>
      <c r="C40" s="169" t="s">
        <v>96</v>
      </c>
      <c r="D40" s="170">
        <v>11850</v>
      </c>
      <c r="E40" s="170">
        <v>-10250</v>
      </c>
      <c r="F40" s="170">
        <f t="shared" si="6"/>
        <v>1600</v>
      </c>
      <c r="G40" s="154">
        <v>1600</v>
      </c>
      <c r="H40" s="154"/>
      <c r="I40" s="154">
        <f>+H40+Q40</f>
        <v>0</v>
      </c>
      <c r="J40" s="170">
        <f t="shared" si="13"/>
        <v>0</v>
      </c>
      <c r="K40" s="154"/>
      <c r="L40" s="154"/>
      <c r="M40" s="154">
        <f t="shared" si="7"/>
        <v>1600</v>
      </c>
      <c r="N40" s="154">
        <f t="shared" si="11"/>
        <v>1600</v>
      </c>
      <c r="O40" s="167">
        <f t="shared" si="12"/>
        <v>0</v>
      </c>
      <c r="Q40">
        <v>0</v>
      </c>
    </row>
    <row r="41" spans="2:17" ht="13.5" x14ac:dyDescent="0.25">
      <c r="B41" s="168" t="s">
        <v>97</v>
      </c>
      <c r="C41" s="169" t="s">
        <v>98</v>
      </c>
      <c r="D41" s="170">
        <v>48000</v>
      </c>
      <c r="E41" s="170">
        <v>-4500</v>
      </c>
      <c r="F41" s="170">
        <f t="shared" si="6"/>
        <v>43500</v>
      </c>
      <c r="G41" s="154">
        <v>43500</v>
      </c>
      <c r="H41" s="154">
        <v>0</v>
      </c>
      <c r="I41" s="154">
        <f>+Q41+H41</f>
        <v>38859.1</v>
      </c>
      <c r="J41" s="170">
        <f t="shared" si="13"/>
        <v>77554.489999999991</v>
      </c>
      <c r="K41" s="154">
        <f>23695.39+15000</f>
        <v>38695.39</v>
      </c>
      <c r="L41" s="154">
        <v>2976.74</v>
      </c>
      <c r="M41" s="154">
        <f t="shared" si="7"/>
        <v>4640.9000000000015</v>
      </c>
      <c r="N41" s="154">
        <f t="shared" si="11"/>
        <v>4640.9000000000015</v>
      </c>
      <c r="O41" s="167">
        <f t="shared" si="12"/>
        <v>89.33126436781609</v>
      </c>
      <c r="Q41">
        <v>38859.1</v>
      </c>
    </row>
    <row r="42" spans="2:17" ht="13.5" x14ac:dyDescent="0.25">
      <c r="B42" s="168" t="s">
        <v>99</v>
      </c>
      <c r="C42" s="169" t="s">
        <v>100</v>
      </c>
      <c r="D42" s="170">
        <v>6250</v>
      </c>
      <c r="E42" s="170">
        <v>-5150</v>
      </c>
      <c r="F42" s="170">
        <f t="shared" si="6"/>
        <v>1100</v>
      </c>
      <c r="G42" s="154">
        <v>1100</v>
      </c>
      <c r="H42" s="154">
        <v>0</v>
      </c>
      <c r="I42" s="154">
        <v>513.6</v>
      </c>
      <c r="J42" s="170">
        <f t="shared" si="13"/>
        <v>938.6</v>
      </c>
      <c r="K42" s="154">
        <v>425</v>
      </c>
      <c r="L42" s="154">
        <v>289</v>
      </c>
      <c r="M42" s="154">
        <f t="shared" si="7"/>
        <v>586.4</v>
      </c>
      <c r="N42" s="154">
        <f t="shared" si="11"/>
        <v>586.4</v>
      </c>
      <c r="O42" s="167">
        <f t="shared" si="12"/>
        <v>46.690909090909088</v>
      </c>
      <c r="Q42">
        <v>513.6</v>
      </c>
    </row>
    <row r="43" spans="2:17" ht="13.5" x14ac:dyDescent="0.25">
      <c r="B43" s="168" t="s">
        <v>101</v>
      </c>
      <c r="C43" s="169" t="s">
        <v>102</v>
      </c>
      <c r="D43" s="170">
        <v>7900</v>
      </c>
      <c r="E43" s="170">
        <v>0</v>
      </c>
      <c r="F43" s="170">
        <f t="shared" si="6"/>
        <v>7900</v>
      </c>
      <c r="G43" s="154">
        <v>7900</v>
      </c>
      <c r="H43" s="154">
        <v>0</v>
      </c>
      <c r="I43" s="154">
        <f>+H43+Q43</f>
        <v>7493.45</v>
      </c>
      <c r="J43" s="170">
        <f t="shared" si="13"/>
        <v>12843.45</v>
      </c>
      <c r="K43" s="154">
        <v>5350</v>
      </c>
      <c r="L43" s="154">
        <v>2568</v>
      </c>
      <c r="M43" s="154">
        <f t="shared" si="7"/>
        <v>406.55000000000018</v>
      </c>
      <c r="N43" s="154">
        <f t="shared" si="11"/>
        <v>406.55000000000018</v>
      </c>
      <c r="O43" s="167">
        <f t="shared" si="12"/>
        <v>94.853797468354429</v>
      </c>
      <c r="Q43">
        <v>7493.45</v>
      </c>
    </row>
    <row r="44" spans="2:17" ht="13.5" x14ac:dyDescent="0.25">
      <c r="B44" s="168" t="s">
        <v>103</v>
      </c>
      <c r="C44" s="169" t="s">
        <v>104</v>
      </c>
      <c r="D44" s="170">
        <v>32950</v>
      </c>
      <c r="E44" s="170">
        <v>-8500</v>
      </c>
      <c r="F44" s="170">
        <f t="shared" si="6"/>
        <v>24450</v>
      </c>
      <c r="G44" s="154">
        <v>24450</v>
      </c>
      <c r="H44" s="154">
        <v>0</v>
      </c>
      <c r="I44" s="154">
        <f>+H44+Q44</f>
        <v>20632.77</v>
      </c>
      <c r="J44" s="170">
        <f t="shared" si="13"/>
        <v>20632.77</v>
      </c>
      <c r="K44" s="154"/>
      <c r="L44" s="154">
        <v>12297.47</v>
      </c>
      <c r="M44" s="154">
        <f t="shared" si="7"/>
        <v>3817.2299999999996</v>
      </c>
      <c r="N44" s="154">
        <f t="shared" si="11"/>
        <v>3817.2299999999996</v>
      </c>
      <c r="O44" s="167">
        <f t="shared" si="12"/>
        <v>84.387607361963191</v>
      </c>
      <c r="Q44">
        <v>20632.77</v>
      </c>
    </row>
    <row r="45" spans="2:17" x14ac:dyDescent="0.2">
      <c r="B45" s="175" t="s">
        <v>105</v>
      </c>
      <c r="C45" s="176" t="s">
        <v>106</v>
      </c>
      <c r="D45" s="164">
        <f>SUM(D46:D52)</f>
        <v>4135000</v>
      </c>
      <c r="E45" s="164">
        <f>SUM(E46:E52)</f>
        <v>-487350</v>
      </c>
      <c r="F45" s="164">
        <f t="shared" si="6"/>
        <v>3647650</v>
      </c>
      <c r="G45" s="164">
        <f>SUM(G46:G52)</f>
        <v>3262350</v>
      </c>
      <c r="H45" s="164">
        <f>SUM(H46:H52)</f>
        <v>304905.96999999997</v>
      </c>
      <c r="I45" s="164">
        <f>SUM(I46:I52)</f>
        <v>2742492.86</v>
      </c>
      <c r="J45" s="164">
        <f t="shared" si="13"/>
        <v>2790221.86</v>
      </c>
      <c r="K45" s="164">
        <f>SUM(K46:K52)</f>
        <v>47729</v>
      </c>
      <c r="L45" s="164">
        <f>SUM(L46:L52)</f>
        <v>2561243.42</v>
      </c>
      <c r="M45" s="153">
        <f t="shared" si="7"/>
        <v>519857.14000000013</v>
      </c>
      <c r="N45" s="153">
        <f t="shared" si="11"/>
        <v>905157.14000000013</v>
      </c>
      <c r="O45" s="172">
        <f t="shared" si="12"/>
        <v>84.064948886538843</v>
      </c>
      <c r="Q45">
        <v>2437586.89</v>
      </c>
    </row>
    <row r="46" spans="2:17" ht="13.5" x14ac:dyDescent="0.25">
      <c r="B46" s="174" t="s">
        <v>107</v>
      </c>
      <c r="C46" s="171" t="s">
        <v>108</v>
      </c>
      <c r="D46" s="170">
        <v>151000</v>
      </c>
      <c r="E46" s="170">
        <v>-10000</v>
      </c>
      <c r="F46" s="170">
        <f t="shared" si="6"/>
        <v>141000</v>
      </c>
      <c r="G46" s="170">
        <v>128600</v>
      </c>
      <c r="H46" s="154">
        <v>32719.15</v>
      </c>
      <c r="I46" s="154">
        <f>+H46+Q46</f>
        <v>122987.53</v>
      </c>
      <c r="J46" s="170">
        <f t="shared" si="13"/>
        <v>122987.53</v>
      </c>
      <c r="K46" s="154"/>
      <c r="L46" s="154">
        <v>122987.31</v>
      </c>
      <c r="M46" s="154">
        <f t="shared" si="7"/>
        <v>5612.4700000000012</v>
      </c>
      <c r="N46" s="154">
        <f t="shared" si="11"/>
        <v>18012.47</v>
      </c>
      <c r="O46" s="167">
        <f t="shared" si="12"/>
        <v>95.635715396578533</v>
      </c>
      <c r="Q46">
        <v>90268.38</v>
      </c>
    </row>
    <row r="47" spans="2:17" ht="13.5" x14ac:dyDescent="0.25">
      <c r="B47" s="168" t="s">
        <v>109</v>
      </c>
      <c r="C47" s="169" t="s">
        <v>110</v>
      </c>
      <c r="D47" s="170">
        <v>22000</v>
      </c>
      <c r="E47" s="170">
        <v>70000</v>
      </c>
      <c r="F47" s="170">
        <f t="shared" si="6"/>
        <v>92000</v>
      </c>
      <c r="G47" s="170">
        <v>92000</v>
      </c>
      <c r="H47" s="154">
        <v>2689.01</v>
      </c>
      <c r="I47" s="154">
        <f>+H47+Q47</f>
        <v>63053.140000000007</v>
      </c>
      <c r="J47" s="170">
        <f t="shared" si="13"/>
        <v>107771.64000000001</v>
      </c>
      <c r="K47" s="154">
        <f>41118.5+3600</f>
        <v>44718.5</v>
      </c>
      <c r="L47" s="154">
        <v>57408.36</v>
      </c>
      <c r="M47" s="154">
        <f t="shared" si="7"/>
        <v>28946.859999999993</v>
      </c>
      <c r="N47" s="154">
        <f t="shared" si="11"/>
        <v>28946.859999999993</v>
      </c>
      <c r="O47" s="167">
        <f t="shared" si="12"/>
        <v>68.536021739130447</v>
      </c>
      <c r="Q47">
        <v>60364.130000000005</v>
      </c>
    </row>
    <row r="48" spans="2:17" ht="13.5" x14ac:dyDescent="0.25">
      <c r="B48" s="168" t="s">
        <v>111</v>
      </c>
      <c r="C48" s="169" t="s">
        <v>112</v>
      </c>
      <c r="D48" s="170">
        <v>2000</v>
      </c>
      <c r="E48" s="170"/>
      <c r="F48" s="170">
        <f t="shared" si="6"/>
        <v>2000</v>
      </c>
      <c r="G48" s="170">
        <v>2000</v>
      </c>
      <c r="H48" s="154">
        <v>11.35</v>
      </c>
      <c r="I48" s="154">
        <f>+H48+Q48</f>
        <v>170.15</v>
      </c>
      <c r="J48" s="170">
        <f t="shared" si="13"/>
        <v>183.65</v>
      </c>
      <c r="K48" s="154">
        <v>13.5</v>
      </c>
      <c r="L48" s="154">
        <v>158</v>
      </c>
      <c r="M48" s="154">
        <f t="shared" si="7"/>
        <v>1829.85</v>
      </c>
      <c r="N48" s="154">
        <f t="shared" si="11"/>
        <v>1829.85</v>
      </c>
      <c r="O48" s="167">
        <f t="shared" si="12"/>
        <v>8.5075000000000003</v>
      </c>
      <c r="Q48">
        <v>158.80000000000001</v>
      </c>
    </row>
    <row r="49" spans="2:17" ht="13.5" x14ac:dyDescent="0.25">
      <c r="B49" s="168" t="s">
        <v>113</v>
      </c>
      <c r="C49" s="169" t="s">
        <v>114</v>
      </c>
      <c r="D49" s="170">
        <v>3485000</v>
      </c>
      <c r="E49" s="170">
        <v>-761050</v>
      </c>
      <c r="F49" s="170">
        <f t="shared" si="6"/>
        <v>2723950</v>
      </c>
      <c r="G49" s="170">
        <v>2389450</v>
      </c>
      <c r="H49" s="154">
        <v>233264.28</v>
      </c>
      <c r="I49" s="154">
        <f>+H49+Q49</f>
        <v>2003716.3199999998</v>
      </c>
      <c r="J49" s="170">
        <f t="shared" si="13"/>
        <v>2003716.3199999998</v>
      </c>
      <c r="K49" s="154"/>
      <c r="L49" s="154">
        <v>2003716.75</v>
      </c>
      <c r="M49" s="154">
        <f t="shared" si="7"/>
        <v>385733.68000000017</v>
      </c>
      <c r="N49" s="154">
        <f t="shared" si="11"/>
        <v>720233.68000000017</v>
      </c>
      <c r="O49" s="167">
        <f t="shared" si="12"/>
        <v>83.856800518947864</v>
      </c>
      <c r="Q49">
        <v>1770452.0399999998</v>
      </c>
    </row>
    <row r="50" spans="2:17" ht="13.5" x14ac:dyDescent="0.25">
      <c r="B50" s="168" t="s">
        <v>115</v>
      </c>
      <c r="C50" s="169" t="s">
        <v>116</v>
      </c>
      <c r="D50" s="170">
        <v>463000</v>
      </c>
      <c r="E50" s="170">
        <v>32500</v>
      </c>
      <c r="F50" s="170">
        <f t="shared" si="6"/>
        <v>495500</v>
      </c>
      <c r="G50" s="170">
        <v>457100</v>
      </c>
      <c r="H50" s="154">
        <v>36222.18</v>
      </c>
      <c r="I50" s="154">
        <f>+Q50+H50</f>
        <v>435311.60000000003</v>
      </c>
      <c r="J50" s="170">
        <f t="shared" si="13"/>
        <v>435311.60000000003</v>
      </c>
      <c r="K50" s="154"/>
      <c r="L50" s="154">
        <v>375203.83</v>
      </c>
      <c r="M50" s="154">
        <f t="shared" si="7"/>
        <v>21788.399999999965</v>
      </c>
      <c r="N50" s="154">
        <f t="shared" si="11"/>
        <v>60188.399999999965</v>
      </c>
      <c r="O50" s="167">
        <f t="shared" si="12"/>
        <v>95.233340625683653</v>
      </c>
      <c r="Q50">
        <v>399089.42000000004</v>
      </c>
    </row>
    <row r="51" spans="2:17" ht="15" customHeight="1" x14ac:dyDescent="0.25">
      <c r="B51" s="168">
        <v>116</v>
      </c>
      <c r="C51" s="169" t="s">
        <v>337</v>
      </c>
      <c r="D51" s="170"/>
      <c r="E51" s="170">
        <v>166200</v>
      </c>
      <c r="F51" s="170">
        <f t="shared" si="6"/>
        <v>166200</v>
      </c>
      <c r="G51" s="170">
        <v>166200</v>
      </c>
      <c r="H51" s="154">
        <v>0</v>
      </c>
      <c r="I51" s="154">
        <f>+H51+Q51</f>
        <v>109395.06000000001</v>
      </c>
      <c r="J51" s="170">
        <f t="shared" si="13"/>
        <v>112392.06000000001</v>
      </c>
      <c r="K51" s="154">
        <v>2997</v>
      </c>
      <c r="L51" s="154">
        <v>749.28</v>
      </c>
      <c r="M51" s="154">
        <f t="shared" si="7"/>
        <v>56804.939999999988</v>
      </c>
      <c r="N51" s="154">
        <f t="shared" si="11"/>
        <v>56804.939999999988</v>
      </c>
      <c r="O51" s="167">
        <f t="shared" si="12"/>
        <v>65.821335740072215</v>
      </c>
      <c r="Q51">
        <v>109395.06000000001</v>
      </c>
    </row>
    <row r="52" spans="2:17" ht="13.5" x14ac:dyDescent="0.25">
      <c r="B52" s="168">
        <v>117</v>
      </c>
      <c r="C52" s="169" t="s">
        <v>382</v>
      </c>
      <c r="D52" s="170">
        <v>12000</v>
      </c>
      <c r="E52" s="170">
        <v>15000</v>
      </c>
      <c r="F52" s="170">
        <f t="shared" si="6"/>
        <v>27000</v>
      </c>
      <c r="G52" s="170">
        <v>27000</v>
      </c>
      <c r="H52" s="154">
        <v>0</v>
      </c>
      <c r="I52" s="154">
        <f>+H52+Q52</f>
        <v>7859.06</v>
      </c>
      <c r="J52" s="170">
        <f t="shared" si="13"/>
        <v>7859.06</v>
      </c>
      <c r="K52" s="154"/>
      <c r="L52" s="154">
        <v>1019.89</v>
      </c>
      <c r="M52" s="154">
        <f t="shared" si="7"/>
        <v>19140.939999999999</v>
      </c>
      <c r="N52" s="154">
        <f t="shared" si="11"/>
        <v>19140.939999999999</v>
      </c>
      <c r="O52" s="167">
        <f t="shared" si="12"/>
        <v>29.107629629629631</v>
      </c>
      <c r="Q52">
        <v>7859.06</v>
      </c>
    </row>
    <row r="53" spans="2:17" ht="12.75" customHeight="1" x14ac:dyDescent="0.2">
      <c r="B53" s="175" t="s">
        <v>117</v>
      </c>
      <c r="C53" s="176" t="s">
        <v>118</v>
      </c>
      <c r="D53" s="164">
        <v>24000</v>
      </c>
      <c r="E53" s="176">
        <v>15700</v>
      </c>
      <c r="F53" s="164">
        <f t="shared" si="6"/>
        <v>39700</v>
      </c>
      <c r="G53" s="153">
        <v>39700</v>
      </c>
      <c r="H53" s="153">
        <v>40.61</v>
      </c>
      <c r="I53" s="153">
        <f>+Q53+H53</f>
        <v>30567.710000000003</v>
      </c>
      <c r="J53" s="164">
        <f t="shared" si="13"/>
        <v>51951.710000000006</v>
      </c>
      <c r="K53" s="153">
        <v>21384</v>
      </c>
      <c r="L53" s="153">
        <v>23577</v>
      </c>
      <c r="M53" s="153">
        <f t="shared" si="7"/>
        <v>9132.2899999999972</v>
      </c>
      <c r="N53" s="153">
        <f t="shared" si="11"/>
        <v>9132.2899999999972</v>
      </c>
      <c r="O53" s="172">
        <f t="shared" si="12"/>
        <v>76.996750629722939</v>
      </c>
      <c r="Q53">
        <v>30527.100000000002</v>
      </c>
    </row>
    <row r="54" spans="2:17" ht="13.5" customHeight="1" x14ac:dyDescent="0.2">
      <c r="B54" s="175" t="s">
        <v>119</v>
      </c>
      <c r="C54" s="176" t="s">
        <v>120</v>
      </c>
      <c r="D54" s="164">
        <f>SUM(D55:D57)</f>
        <v>87000</v>
      </c>
      <c r="E54" s="164">
        <f>SUM(E55:E57)</f>
        <v>-68250</v>
      </c>
      <c r="F54" s="164">
        <f t="shared" si="6"/>
        <v>18750</v>
      </c>
      <c r="G54" s="164">
        <f>+G55+G56</f>
        <v>18750</v>
      </c>
      <c r="H54" s="164">
        <f>SUM(H55:H56)</f>
        <v>2820.16</v>
      </c>
      <c r="I54" s="164">
        <f>SUM(I55:I56)</f>
        <v>11011.449999999999</v>
      </c>
      <c r="J54" s="164">
        <f t="shared" si="13"/>
        <v>11545.449999999999</v>
      </c>
      <c r="K54" s="164">
        <f>SUM(K55:K56)</f>
        <v>534</v>
      </c>
      <c r="L54" s="164">
        <f>SUM(L55:L56)</f>
        <v>1000.8</v>
      </c>
      <c r="M54" s="153">
        <f t="shared" si="7"/>
        <v>7738.5500000000011</v>
      </c>
      <c r="N54" s="153">
        <f t="shared" si="11"/>
        <v>7738.5500000000011</v>
      </c>
      <c r="O54" s="172">
        <f t="shared" si="12"/>
        <v>58.727733333333333</v>
      </c>
      <c r="Q54">
        <v>8191.29</v>
      </c>
    </row>
    <row r="55" spans="2:17" ht="13.5" x14ac:dyDescent="0.25">
      <c r="B55" s="168" t="s">
        <v>121</v>
      </c>
      <c r="C55" s="171" t="s">
        <v>122</v>
      </c>
      <c r="D55" s="170">
        <v>51370</v>
      </c>
      <c r="E55" s="170">
        <v>-39700</v>
      </c>
      <c r="F55" s="170">
        <f t="shared" si="6"/>
        <v>11670</v>
      </c>
      <c r="G55" s="154">
        <v>11670</v>
      </c>
      <c r="H55" s="154">
        <v>2820.16</v>
      </c>
      <c r="I55" s="154">
        <f>+Q55+H55</f>
        <v>10024.4</v>
      </c>
      <c r="J55" s="170">
        <f t="shared" si="13"/>
        <v>10072.4</v>
      </c>
      <c r="K55" s="154">
        <v>48</v>
      </c>
      <c r="L55" s="154">
        <v>228</v>
      </c>
      <c r="M55" s="154">
        <f t="shared" si="7"/>
        <v>1645.6000000000004</v>
      </c>
      <c r="N55" s="154">
        <f t="shared" si="11"/>
        <v>1645.6000000000004</v>
      </c>
      <c r="O55" s="167">
        <f t="shared" si="12"/>
        <v>85.898886032562132</v>
      </c>
      <c r="Q55">
        <v>7204.24</v>
      </c>
    </row>
    <row r="56" spans="2:17" ht="12.75" customHeight="1" x14ac:dyDescent="0.25">
      <c r="B56" s="168" t="s">
        <v>300</v>
      </c>
      <c r="C56" s="171" t="s">
        <v>301</v>
      </c>
      <c r="D56" s="170">
        <v>35630</v>
      </c>
      <c r="E56" s="170">
        <v>-28550</v>
      </c>
      <c r="F56" s="170">
        <f t="shared" si="6"/>
        <v>7080</v>
      </c>
      <c r="G56" s="170">
        <v>7080</v>
      </c>
      <c r="H56" s="170">
        <v>0</v>
      </c>
      <c r="I56" s="154">
        <f>+Q56+H56</f>
        <v>987.05000000000007</v>
      </c>
      <c r="J56" s="170">
        <f t="shared" si="13"/>
        <v>1473.0500000000002</v>
      </c>
      <c r="K56" s="170">
        <v>486</v>
      </c>
      <c r="L56" s="170">
        <v>772.8</v>
      </c>
      <c r="M56" s="154">
        <f t="shared" si="7"/>
        <v>6092.95</v>
      </c>
      <c r="N56" s="154">
        <f t="shared" si="11"/>
        <v>6092.95</v>
      </c>
      <c r="O56" s="167">
        <f t="shared" si="12"/>
        <v>13.94138418079096</v>
      </c>
      <c r="Q56">
        <v>987.05000000000007</v>
      </c>
    </row>
    <row r="57" spans="2:17" ht="13.5" hidden="1" x14ac:dyDescent="0.25">
      <c r="B57" s="177">
        <v>139</v>
      </c>
      <c r="C57" s="171" t="s">
        <v>123</v>
      </c>
      <c r="D57" s="170">
        <v>0</v>
      </c>
      <c r="E57" s="170">
        <v>0</v>
      </c>
      <c r="F57" s="170">
        <f t="shared" si="6"/>
        <v>0</v>
      </c>
      <c r="G57" s="154">
        <v>0</v>
      </c>
      <c r="H57" s="154"/>
      <c r="I57" s="154">
        <f>+H57+Q57</f>
        <v>0</v>
      </c>
      <c r="J57" s="154"/>
      <c r="K57" s="154"/>
      <c r="L57" s="154"/>
      <c r="M57" s="154">
        <f t="shared" ref="M57" si="14">+G57-I57</f>
        <v>0</v>
      </c>
      <c r="N57" s="154">
        <f t="shared" si="11"/>
        <v>0</v>
      </c>
      <c r="O57" s="167" t="s">
        <v>2</v>
      </c>
    </row>
    <row r="58" spans="2:17" ht="12.75" hidden="1" customHeight="1" x14ac:dyDescent="0.2">
      <c r="B58" s="292" t="s">
        <v>403</v>
      </c>
      <c r="C58" s="292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</row>
    <row r="59" spans="2:17" ht="12" hidden="1" customHeight="1" x14ac:dyDescent="0.2">
      <c r="B59" s="292" t="s">
        <v>405</v>
      </c>
      <c r="C59" s="292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</row>
    <row r="60" spans="2:17" hidden="1" x14ac:dyDescent="0.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</row>
    <row r="61" spans="2:17" ht="3.75" hidden="1" customHeight="1" x14ac:dyDescent="0.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</row>
    <row r="62" spans="2:17" ht="12.75" hidden="1" customHeight="1" x14ac:dyDescent="0.2">
      <c r="B62" s="312" t="s">
        <v>43</v>
      </c>
      <c r="C62" s="313"/>
      <c r="D62" s="318" t="s">
        <v>17</v>
      </c>
      <c r="E62" s="319"/>
      <c r="F62" s="319"/>
      <c r="G62" s="320"/>
      <c r="H62" s="297" t="s">
        <v>44</v>
      </c>
      <c r="I62" s="298"/>
      <c r="J62" s="309" t="s">
        <v>400</v>
      </c>
      <c r="K62" s="309"/>
      <c r="L62" s="309" t="s">
        <v>45</v>
      </c>
      <c r="M62" s="297" t="s">
        <v>14</v>
      </c>
      <c r="N62" s="298"/>
      <c r="O62" s="325" t="s">
        <v>46</v>
      </c>
    </row>
    <row r="63" spans="2:17" ht="12.75" hidden="1" customHeight="1" x14ac:dyDescent="0.2">
      <c r="B63" s="314"/>
      <c r="C63" s="315"/>
      <c r="D63" s="321"/>
      <c r="E63" s="322"/>
      <c r="F63" s="322"/>
      <c r="G63" s="323"/>
      <c r="H63" s="299"/>
      <c r="I63" s="300"/>
      <c r="J63" s="310"/>
      <c r="K63" s="310"/>
      <c r="L63" s="310"/>
      <c r="M63" s="299"/>
      <c r="N63" s="300"/>
      <c r="O63" s="326"/>
    </row>
    <row r="64" spans="2:17" hidden="1" x14ac:dyDescent="0.2">
      <c r="B64" s="316"/>
      <c r="C64" s="317"/>
      <c r="D64" s="235" t="s">
        <v>47</v>
      </c>
      <c r="E64" s="235" t="s">
        <v>48</v>
      </c>
      <c r="F64" s="235" t="s">
        <v>49</v>
      </c>
      <c r="G64" s="235" t="s">
        <v>1</v>
      </c>
      <c r="H64" s="236" t="s">
        <v>18</v>
      </c>
      <c r="I64" s="237" t="s">
        <v>50</v>
      </c>
      <c r="J64" s="275"/>
      <c r="K64" s="276" t="s">
        <v>398</v>
      </c>
      <c r="L64" s="324"/>
      <c r="M64" s="238" t="s">
        <v>51</v>
      </c>
      <c r="N64" s="239" t="s">
        <v>16</v>
      </c>
      <c r="O64" s="327"/>
    </row>
    <row r="65" spans="2:17" x14ac:dyDescent="0.2">
      <c r="B65" s="291" t="s">
        <v>404</v>
      </c>
      <c r="C65" s="291"/>
      <c r="D65" s="291"/>
      <c r="E65" s="291"/>
      <c r="F65" s="291"/>
      <c r="G65" s="291"/>
      <c r="H65" s="291"/>
      <c r="I65" s="291"/>
      <c r="J65" s="291"/>
      <c r="K65" s="291"/>
      <c r="L65" s="291"/>
      <c r="M65" s="291"/>
      <c r="N65" s="291"/>
      <c r="O65" s="291"/>
    </row>
    <row r="66" spans="2:17" x14ac:dyDescent="0.2">
      <c r="B66" s="290" t="s">
        <v>410</v>
      </c>
      <c r="C66" s="290"/>
      <c r="D66" s="290"/>
      <c r="E66" s="290"/>
      <c r="F66" s="290"/>
      <c r="G66" s="290"/>
      <c r="H66" s="290"/>
      <c r="I66" s="290"/>
      <c r="J66" s="290"/>
      <c r="K66" s="290"/>
      <c r="L66" s="290"/>
      <c r="M66" s="290"/>
      <c r="N66" s="290"/>
      <c r="O66" s="290"/>
    </row>
    <row r="67" spans="2:17" x14ac:dyDescent="0.2">
      <c r="B67" s="293" t="s">
        <v>43</v>
      </c>
      <c r="C67" s="294"/>
      <c r="D67" s="295" t="s">
        <v>17</v>
      </c>
      <c r="E67" s="295"/>
      <c r="F67" s="295"/>
      <c r="G67" s="295"/>
      <c r="H67" s="296" t="s">
        <v>44</v>
      </c>
      <c r="I67" s="296"/>
      <c r="J67" s="309" t="s">
        <v>400</v>
      </c>
      <c r="K67" s="309"/>
      <c r="L67" s="296" t="s">
        <v>45</v>
      </c>
      <c r="M67" s="297" t="s">
        <v>14</v>
      </c>
      <c r="N67" s="298"/>
      <c r="O67" s="311" t="s">
        <v>46</v>
      </c>
    </row>
    <row r="68" spans="2:17" x14ac:dyDescent="0.2">
      <c r="B68" s="293"/>
      <c r="C68" s="294"/>
      <c r="D68" s="295"/>
      <c r="E68" s="295"/>
      <c r="F68" s="295"/>
      <c r="G68" s="295"/>
      <c r="H68" s="296"/>
      <c r="I68" s="296"/>
      <c r="J68" s="310"/>
      <c r="K68" s="310"/>
      <c r="L68" s="296"/>
      <c r="M68" s="299"/>
      <c r="N68" s="300"/>
      <c r="O68" s="311"/>
    </row>
    <row r="69" spans="2:17" x14ac:dyDescent="0.2">
      <c r="B69" s="293"/>
      <c r="C69" s="294"/>
      <c r="D69" s="235" t="s">
        <v>47</v>
      </c>
      <c r="E69" s="235" t="s">
        <v>48</v>
      </c>
      <c r="F69" s="235" t="s">
        <v>49</v>
      </c>
      <c r="G69" s="235" t="s">
        <v>1</v>
      </c>
      <c r="H69" s="236" t="s">
        <v>18</v>
      </c>
      <c r="I69" s="237" t="s">
        <v>50</v>
      </c>
      <c r="J69" s="275"/>
      <c r="K69" s="276" t="s">
        <v>398</v>
      </c>
      <c r="L69" s="296"/>
      <c r="M69" s="238" t="s">
        <v>51</v>
      </c>
      <c r="N69" s="239" t="s">
        <v>16</v>
      </c>
      <c r="O69" s="311"/>
    </row>
    <row r="70" spans="2:17" x14ac:dyDescent="0.2">
      <c r="B70" s="175" t="s">
        <v>124</v>
      </c>
      <c r="C70" s="176" t="s">
        <v>125</v>
      </c>
      <c r="D70" s="164">
        <f>SUM(D71:D73)</f>
        <v>210000</v>
      </c>
      <c r="E70" s="164">
        <f>SUM(E71:E73)</f>
        <v>100120</v>
      </c>
      <c r="F70" s="164">
        <f t="shared" si="6"/>
        <v>310120</v>
      </c>
      <c r="G70" s="164">
        <f>+G71+G72+G73</f>
        <v>310120</v>
      </c>
      <c r="H70" s="164">
        <f>SUM(H71:H73)</f>
        <v>22053</v>
      </c>
      <c r="I70" s="164">
        <f>SUM(I71:I73)</f>
        <v>265783.95</v>
      </c>
      <c r="J70" s="164">
        <f t="shared" ref="J70:J123" si="15">+I70+K70</f>
        <v>285353.95</v>
      </c>
      <c r="K70" s="164">
        <f>SUM(K71:K73)</f>
        <v>19570</v>
      </c>
      <c r="L70" s="164">
        <f>SUM(L71:L73)</f>
        <v>263577</v>
      </c>
      <c r="M70" s="153">
        <f t="shared" ref="M70:M123" si="16">+G70-I70</f>
        <v>44336.049999999988</v>
      </c>
      <c r="N70" s="153">
        <f t="shared" ref="N70:N103" si="17">+F70-I70</f>
        <v>44336.049999999988</v>
      </c>
      <c r="O70" s="172">
        <f t="shared" ref="O70:O79" si="18">+I70*100/G70</f>
        <v>85.703582484199671</v>
      </c>
      <c r="P70" s="7"/>
      <c r="Q70">
        <v>243730.95</v>
      </c>
    </row>
    <row r="71" spans="2:17" ht="13.5" x14ac:dyDescent="0.25">
      <c r="B71" s="174" t="s">
        <v>126</v>
      </c>
      <c r="C71" s="171" t="s">
        <v>127</v>
      </c>
      <c r="D71" s="170">
        <v>128050</v>
      </c>
      <c r="E71" s="170">
        <v>130800</v>
      </c>
      <c r="F71" s="170">
        <f t="shared" si="6"/>
        <v>258850</v>
      </c>
      <c r="G71" s="170">
        <v>258850</v>
      </c>
      <c r="H71" s="170">
        <v>17697</v>
      </c>
      <c r="I71" s="154">
        <f>+Q71+H71</f>
        <v>228485.5</v>
      </c>
      <c r="J71" s="170">
        <f t="shared" si="15"/>
        <v>244495.5</v>
      </c>
      <c r="K71" s="170">
        <v>16010</v>
      </c>
      <c r="L71" s="170">
        <v>226842</v>
      </c>
      <c r="M71" s="154">
        <f t="shared" si="16"/>
        <v>30364.5</v>
      </c>
      <c r="N71" s="154">
        <f t="shared" si="17"/>
        <v>30364.5</v>
      </c>
      <c r="O71" s="167">
        <f t="shared" si="18"/>
        <v>88.269461077844312</v>
      </c>
      <c r="Q71">
        <v>210788.5</v>
      </c>
    </row>
    <row r="72" spans="2:17" ht="13.5" x14ac:dyDescent="0.25">
      <c r="B72" s="168" t="s">
        <v>128</v>
      </c>
      <c r="C72" s="169" t="s">
        <v>129</v>
      </c>
      <c r="D72" s="170">
        <v>62450</v>
      </c>
      <c r="E72" s="170">
        <v>-22600</v>
      </c>
      <c r="F72" s="170">
        <f t="shared" si="6"/>
        <v>39850</v>
      </c>
      <c r="G72" s="154">
        <v>39850</v>
      </c>
      <c r="H72" s="154">
        <v>2450</v>
      </c>
      <c r="I72" s="154">
        <f>+Q72+H72</f>
        <v>29300.45</v>
      </c>
      <c r="J72" s="170">
        <f t="shared" si="15"/>
        <v>32100.45</v>
      </c>
      <c r="K72" s="154">
        <v>2800</v>
      </c>
      <c r="L72" s="154">
        <v>29300</v>
      </c>
      <c r="M72" s="154">
        <f t="shared" si="16"/>
        <v>10549.55</v>
      </c>
      <c r="N72" s="154">
        <f t="shared" si="17"/>
        <v>10549.55</v>
      </c>
      <c r="O72" s="167">
        <f t="shared" si="18"/>
        <v>73.526850690087826</v>
      </c>
      <c r="Q72">
        <v>26850.45</v>
      </c>
    </row>
    <row r="73" spans="2:17" ht="13.5" x14ac:dyDescent="0.25">
      <c r="B73" s="168">
        <v>143</v>
      </c>
      <c r="C73" s="169" t="s">
        <v>130</v>
      </c>
      <c r="D73" s="170">
        <v>19500</v>
      </c>
      <c r="E73" s="170">
        <v>-8080</v>
      </c>
      <c r="F73" s="170">
        <f t="shared" si="6"/>
        <v>11420</v>
      </c>
      <c r="G73" s="154">
        <v>11420</v>
      </c>
      <c r="H73" s="154">
        <v>1906</v>
      </c>
      <c r="I73" s="154">
        <f>+Q73+H73</f>
        <v>7998</v>
      </c>
      <c r="J73" s="170">
        <f t="shared" si="15"/>
        <v>8758</v>
      </c>
      <c r="K73" s="154">
        <v>760</v>
      </c>
      <c r="L73" s="154">
        <v>7435</v>
      </c>
      <c r="M73" s="154">
        <f t="shared" si="16"/>
        <v>3422</v>
      </c>
      <c r="N73" s="154">
        <f t="shared" si="17"/>
        <v>3422</v>
      </c>
      <c r="O73" s="167">
        <f t="shared" si="18"/>
        <v>70.035026269702271</v>
      </c>
      <c r="Q73">
        <v>6092</v>
      </c>
    </row>
    <row r="74" spans="2:17" x14ac:dyDescent="0.2">
      <c r="B74" s="175" t="s">
        <v>131</v>
      </c>
      <c r="C74" s="176" t="s">
        <v>132</v>
      </c>
      <c r="D74" s="164">
        <f>SUM(D75:D77)</f>
        <v>125000</v>
      </c>
      <c r="E74" s="164">
        <f>SUM(E75:E78)</f>
        <v>28916</v>
      </c>
      <c r="F74" s="164">
        <f t="shared" si="6"/>
        <v>153916</v>
      </c>
      <c r="G74" s="164">
        <f>+G75+G76+G77+G78</f>
        <v>153916</v>
      </c>
      <c r="H74" s="164">
        <f>SUM(H75:H78)</f>
        <v>11378.949999999999</v>
      </c>
      <c r="I74" s="164">
        <f>SUM(I75:I78)</f>
        <v>107979.71999999999</v>
      </c>
      <c r="J74" s="164">
        <f t="shared" si="15"/>
        <v>117180.63999999998</v>
      </c>
      <c r="K74" s="164">
        <f>SUM(K75:K78)</f>
        <v>9200.92</v>
      </c>
      <c r="L74" s="164">
        <f>SUM(L75:L78)</f>
        <v>69944.950000000012</v>
      </c>
      <c r="M74" s="153">
        <f t="shared" si="16"/>
        <v>45936.280000000013</v>
      </c>
      <c r="N74" s="153">
        <f t="shared" si="17"/>
        <v>45936.280000000013</v>
      </c>
      <c r="O74" s="172">
        <f t="shared" si="18"/>
        <v>70.154967644689293</v>
      </c>
      <c r="Q74">
        <v>96600.76999999999</v>
      </c>
    </row>
    <row r="75" spans="2:17" ht="13.5" x14ac:dyDescent="0.25">
      <c r="B75" s="174" t="s">
        <v>133</v>
      </c>
      <c r="C75" s="171" t="s">
        <v>127</v>
      </c>
      <c r="D75" s="170">
        <v>69400</v>
      </c>
      <c r="E75" s="170">
        <v>49500</v>
      </c>
      <c r="F75" s="170">
        <f t="shared" si="6"/>
        <v>118900</v>
      </c>
      <c r="G75" s="170">
        <v>118900</v>
      </c>
      <c r="H75" s="170">
        <v>8820.7099999999991</v>
      </c>
      <c r="I75" s="154">
        <f>+Q75+H75</f>
        <v>85082.859999999986</v>
      </c>
      <c r="J75" s="170">
        <f t="shared" si="15"/>
        <v>94004.859999999986</v>
      </c>
      <c r="K75" s="170">
        <v>8922</v>
      </c>
      <c r="L75" s="170">
        <v>64881.33</v>
      </c>
      <c r="M75" s="154">
        <f t="shared" si="16"/>
        <v>33817.140000000014</v>
      </c>
      <c r="N75" s="154">
        <f t="shared" si="17"/>
        <v>33817.140000000014</v>
      </c>
      <c r="O75" s="167">
        <f t="shared" si="18"/>
        <v>71.558334735071469</v>
      </c>
      <c r="Q75">
        <v>76262.149999999994</v>
      </c>
    </row>
    <row r="76" spans="2:17" ht="13.5" x14ac:dyDescent="0.25">
      <c r="B76" s="168" t="s">
        <v>134</v>
      </c>
      <c r="C76" s="169" t="s">
        <v>129</v>
      </c>
      <c r="D76" s="170">
        <v>43900</v>
      </c>
      <c r="E76" s="170">
        <v>-22784</v>
      </c>
      <c r="F76" s="170">
        <f t="shared" si="6"/>
        <v>21116</v>
      </c>
      <c r="G76" s="170">
        <v>21116</v>
      </c>
      <c r="H76" s="170">
        <v>1803.09</v>
      </c>
      <c r="I76" s="154">
        <f>+Q76+H76</f>
        <v>15047.99</v>
      </c>
      <c r="J76" s="170">
        <f t="shared" si="15"/>
        <v>15047.99</v>
      </c>
      <c r="K76" s="170">
        <v>0</v>
      </c>
      <c r="L76" s="154">
        <v>750</v>
      </c>
      <c r="M76" s="154">
        <f t="shared" si="16"/>
        <v>6068.01</v>
      </c>
      <c r="N76" s="154">
        <f t="shared" si="17"/>
        <v>6068.01</v>
      </c>
      <c r="O76" s="167">
        <f t="shared" si="18"/>
        <v>71.263449516953969</v>
      </c>
      <c r="Q76">
        <v>13244.9</v>
      </c>
    </row>
    <row r="77" spans="2:17" ht="13.5" x14ac:dyDescent="0.25">
      <c r="B77" s="168">
        <v>153</v>
      </c>
      <c r="C77" s="169" t="s">
        <v>135</v>
      </c>
      <c r="D77" s="170">
        <v>11700</v>
      </c>
      <c r="E77" s="170">
        <v>-1100</v>
      </c>
      <c r="F77" s="170">
        <f t="shared" si="6"/>
        <v>10600</v>
      </c>
      <c r="G77" s="154">
        <v>10600</v>
      </c>
      <c r="H77" s="154">
        <v>372.96</v>
      </c>
      <c r="I77" s="154">
        <f>+Q77+H77</f>
        <v>6120.33</v>
      </c>
      <c r="J77" s="170">
        <f t="shared" si="15"/>
        <v>6396.25</v>
      </c>
      <c r="K77" s="154">
        <v>275.92</v>
      </c>
      <c r="L77" s="154">
        <v>2741.32</v>
      </c>
      <c r="M77" s="154">
        <f t="shared" si="16"/>
        <v>4479.67</v>
      </c>
      <c r="N77" s="154">
        <f t="shared" si="17"/>
        <v>4479.67</v>
      </c>
      <c r="O77" s="167">
        <f t="shared" si="18"/>
        <v>57.738962264150942</v>
      </c>
      <c r="Q77">
        <v>5747.37</v>
      </c>
    </row>
    <row r="78" spans="2:17" ht="14.25" customHeight="1" x14ac:dyDescent="0.25">
      <c r="B78" s="168">
        <v>154</v>
      </c>
      <c r="C78" s="169" t="s">
        <v>384</v>
      </c>
      <c r="D78" s="170"/>
      <c r="E78" s="170">
        <v>3300</v>
      </c>
      <c r="F78" s="170">
        <f t="shared" si="6"/>
        <v>3300</v>
      </c>
      <c r="G78" s="154">
        <v>3300</v>
      </c>
      <c r="H78" s="154">
        <v>382.19</v>
      </c>
      <c r="I78" s="154">
        <f>+Q78+H78</f>
        <v>1728.54</v>
      </c>
      <c r="J78" s="170">
        <f t="shared" si="15"/>
        <v>1731.54</v>
      </c>
      <c r="K78" s="154">
        <v>3</v>
      </c>
      <c r="L78" s="154">
        <v>1572.3</v>
      </c>
      <c r="M78" s="154">
        <f t="shared" si="16"/>
        <v>1571.46</v>
      </c>
      <c r="N78" s="154">
        <f t="shared" si="17"/>
        <v>1571.46</v>
      </c>
      <c r="O78" s="167">
        <f t="shared" si="18"/>
        <v>52.38</v>
      </c>
      <c r="Q78">
        <v>1346.35</v>
      </c>
    </row>
    <row r="79" spans="2:17" ht="23.25" customHeight="1" x14ac:dyDescent="0.2">
      <c r="B79" s="175" t="s">
        <v>136</v>
      </c>
      <c r="C79" s="176" t="s">
        <v>137</v>
      </c>
      <c r="D79" s="164">
        <f>+D82+D83+D85</f>
        <v>362000</v>
      </c>
      <c r="E79" s="164">
        <f>SUM(E80:E85)</f>
        <v>552700</v>
      </c>
      <c r="F79" s="164">
        <f>+F82+F83+F85+F84+F81</f>
        <v>914700</v>
      </c>
      <c r="G79" s="164">
        <f>+G82+G83+G85+G84+G81</f>
        <v>904700</v>
      </c>
      <c r="H79" s="164">
        <f>+H82+H83+H85+H84+H81</f>
        <v>54710.780000000006</v>
      </c>
      <c r="I79" s="164">
        <f>+I82+I83+I85+I84+I81</f>
        <v>715403.62000000011</v>
      </c>
      <c r="J79" s="164">
        <f t="shared" si="15"/>
        <v>978882.62000000011</v>
      </c>
      <c r="K79" s="164">
        <f>+K82+K83+K85+K84+K81</f>
        <v>263479</v>
      </c>
      <c r="L79" s="164">
        <f>+L82+L83+L85+L84</f>
        <v>245060.18</v>
      </c>
      <c r="M79" s="153">
        <f t="shared" si="16"/>
        <v>189296.37999999989</v>
      </c>
      <c r="N79" s="153">
        <f t="shared" si="17"/>
        <v>199296.37999999989</v>
      </c>
      <c r="O79" s="172">
        <f t="shared" si="18"/>
        <v>79.076336907262089</v>
      </c>
      <c r="Q79">
        <v>660692.84</v>
      </c>
    </row>
    <row r="80" spans="2:17" ht="13.5" hidden="1" x14ac:dyDescent="0.25">
      <c r="B80" s="174" t="s">
        <v>138</v>
      </c>
      <c r="C80" s="171" t="s">
        <v>139</v>
      </c>
      <c r="D80" s="170">
        <v>0</v>
      </c>
      <c r="E80" s="170"/>
      <c r="F80" s="170">
        <f t="shared" si="6"/>
        <v>0</v>
      </c>
      <c r="G80" s="155">
        <v>0</v>
      </c>
      <c r="H80" s="154"/>
      <c r="I80" s="154">
        <f>+H80+Q80</f>
        <v>0</v>
      </c>
      <c r="J80" s="170">
        <f t="shared" si="15"/>
        <v>0</v>
      </c>
      <c r="K80" s="154"/>
      <c r="L80" s="154"/>
      <c r="M80" s="154">
        <f t="shared" si="16"/>
        <v>0</v>
      </c>
      <c r="N80" s="154">
        <f t="shared" si="17"/>
        <v>0</v>
      </c>
      <c r="O80" s="167"/>
      <c r="Q80">
        <v>0</v>
      </c>
    </row>
    <row r="81" spans="2:17" ht="13.5" customHeight="1" x14ac:dyDescent="0.25">
      <c r="B81" s="174" t="s">
        <v>302</v>
      </c>
      <c r="C81" s="171" t="s">
        <v>303</v>
      </c>
      <c r="D81" s="170">
        <v>0</v>
      </c>
      <c r="E81" s="170">
        <v>16000</v>
      </c>
      <c r="F81" s="170">
        <f t="shared" si="6"/>
        <v>16000</v>
      </c>
      <c r="G81" s="266">
        <v>16000</v>
      </c>
      <c r="H81" s="154"/>
      <c r="I81" s="154">
        <f>+H81+Q81</f>
        <v>0</v>
      </c>
      <c r="J81" s="170">
        <f t="shared" si="15"/>
        <v>0</v>
      </c>
      <c r="K81" s="154">
        <v>0</v>
      </c>
      <c r="L81" s="154"/>
      <c r="M81" s="154">
        <f t="shared" si="16"/>
        <v>16000</v>
      </c>
      <c r="N81" s="154">
        <f t="shared" si="17"/>
        <v>16000</v>
      </c>
      <c r="O81" s="167">
        <f>+I81*100/G83</f>
        <v>0</v>
      </c>
      <c r="Q81">
        <v>0</v>
      </c>
    </row>
    <row r="82" spans="2:17" ht="13.5" x14ac:dyDescent="0.25">
      <c r="B82" s="174" t="s">
        <v>294</v>
      </c>
      <c r="C82" s="171" t="s">
        <v>295</v>
      </c>
      <c r="D82" s="170">
        <v>2900</v>
      </c>
      <c r="E82" s="170">
        <v>-2900</v>
      </c>
      <c r="F82" s="170">
        <f t="shared" si="6"/>
        <v>0</v>
      </c>
      <c r="G82" s="170">
        <v>0</v>
      </c>
      <c r="H82" s="154"/>
      <c r="I82" s="154">
        <f>+H82+Q82</f>
        <v>0</v>
      </c>
      <c r="J82" s="170">
        <f t="shared" si="15"/>
        <v>0</v>
      </c>
      <c r="K82" s="154">
        <v>0</v>
      </c>
      <c r="L82" s="154"/>
      <c r="M82" s="154">
        <f t="shared" si="16"/>
        <v>0</v>
      </c>
      <c r="N82" s="154">
        <f t="shared" si="17"/>
        <v>0</v>
      </c>
      <c r="O82" s="167" t="s">
        <v>2</v>
      </c>
      <c r="Q82">
        <v>0</v>
      </c>
    </row>
    <row r="83" spans="2:17" ht="12.75" customHeight="1" x14ac:dyDescent="0.25">
      <c r="B83" s="174" t="s">
        <v>140</v>
      </c>
      <c r="C83" s="171" t="s">
        <v>141</v>
      </c>
      <c r="D83" s="170">
        <v>85135</v>
      </c>
      <c r="E83" s="170">
        <v>-5000</v>
      </c>
      <c r="F83" s="170">
        <f t="shared" si="6"/>
        <v>80135</v>
      </c>
      <c r="G83" s="170">
        <v>80135</v>
      </c>
      <c r="H83" s="154">
        <v>157.22999999999999</v>
      </c>
      <c r="I83" s="154">
        <f>+Q83+H83</f>
        <v>67020.029999999984</v>
      </c>
      <c r="J83" s="170">
        <f t="shared" si="15"/>
        <v>67079.029999999984</v>
      </c>
      <c r="K83" s="154">
        <v>59</v>
      </c>
      <c r="L83" s="154">
        <v>29306.93</v>
      </c>
      <c r="M83" s="154">
        <f t="shared" si="16"/>
        <v>13114.970000000016</v>
      </c>
      <c r="N83" s="154">
        <f t="shared" si="17"/>
        <v>13114.970000000016</v>
      </c>
      <c r="O83" s="167">
        <f>+I83*100/G83</f>
        <v>83.633905284831826</v>
      </c>
      <c r="Q83">
        <v>66862.799999999988</v>
      </c>
    </row>
    <row r="84" spans="2:17" ht="12.75" customHeight="1" x14ac:dyDescent="0.25">
      <c r="B84" s="177">
        <v>165</v>
      </c>
      <c r="C84" s="171" t="s">
        <v>142</v>
      </c>
      <c r="D84" s="170"/>
      <c r="E84" s="170">
        <v>202000</v>
      </c>
      <c r="F84" s="170">
        <f t="shared" si="6"/>
        <v>202000</v>
      </c>
      <c r="G84" s="170">
        <v>202000</v>
      </c>
      <c r="H84" s="154">
        <v>3825.47</v>
      </c>
      <c r="I84" s="154">
        <f>+H84+Q84</f>
        <v>130962.06000000001</v>
      </c>
      <c r="J84" s="170">
        <f t="shared" si="15"/>
        <v>283958.06</v>
      </c>
      <c r="K84" s="154">
        <v>152996</v>
      </c>
      <c r="L84" s="154">
        <v>47686.93</v>
      </c>
      <c r="M84" s="154">
        <f t="shared" si="16"/>
        <v>71037.939999999988</v>
      </c>
      <c r="N84" s="154">
        <f t="shared" si="17"/>
        <v>71037.939999999988</v>
      </c>
      <c r="O84" s="167">
        <f>+I84*100/G84</f>
        <v>64.832702970297035</v>
      </c>
      <c r="Q84">
        <v>127136.59000000001</v>
      </c>
    </row>
    <row r="85" spans="2:17" ht="13.5" x14ac:dyDescent="0.25">
      <c r="B85" s="168" t="s">
        <v>143</v>
      </c>
      <c r="C85" s="169" t="s">
        <v>144</v>
      </c>
      <c r="D85" s="170">
        <v>273965</v>
      </c>
      <c r="E85" s="170">
        <v>342600</v>
      </c>
      <c r="F85" s="170">
        <f t="shared" si="6"/>
        <v>616565</v>
      </c>
      <c r="G85" s="170">
        <v>606565</v>
      </c>
      <c r="H85" s="170">
        <v>50728.08</v>
      </c>
      <c r="I85" s="154">
        <f>+H85+Q85</f>
        <v>517421.53</v>
      </c>
      <c r="J85" s="170">
        <f t="shared" si="15"/>
        <v>627845.53</v>
      </c>
      <c r="K85" s="170">
        <v>110424</v>
      </c>
      <c r="L85" s="170">
        <v>168066.32</v>
      </c>
      <c r="M85" s="154">
        <f t="shared" si="16"/>
        <v>89143.469999999972</v>
      </c>
      <c r="N85" s="154">
        <f t="shared" si="17"/>
        <v>99143.469999999972</v>
      </c>
      <c r="O85" s="167">
        <f>+I85*100/G85</f>
        <v>85.303558563385621</v>
      </c>
      <c r="Q85">
        <v>466693.45</v>
      </c>
    </row>
    <row r="86" spans="2:17" x14ac:dyDescent="0.2">
      <c r="B86" s="178">
        <v>170</v>
      </c>
      <c r="C86" s="179" t="s">
        <v>323</v>
      </c>
      <c r="D86" s="180">
        <f>+D87+D88</f>
        <v>337000</v>
      </c>
      <c r="E86" s="180">
        <f>+E87+E88</f>
        <v>-101000</v>
      </c>
      <c r="F86" s="164">
        <f t="shared" si="6"/>
        <v>236000</v>
      </c>
      <c r="G86" s="180">
        <f>+G87+G88</f>
        <v>218931</v>
      </c>
      <c r="H86" s="180">
        <f>SUM(H87:H88)</f>
        <v>16606.96</v>
      </c>
      <c r="I86" s="180">
        <f>SUM(I87:I88)</f>
        <v>104184.34999999998</v>
      </c>
      <c r="J86" s="164">
        <f t="shared" si="15"/>
        <v>161105.22999999998</v>
      </c>
      <c r="K86" s="180">
        <f>SUM(K87:K88)</f>
        <v>56920.88</v>
      </c>
      <c r="L86" s="180">
        <f>SUM(L87:L88)</f>
        <v>55072</v>
      </c>
      <c r="M86" s="153">
        <f t="shared" si="16"/>
        <v>114746.65000000002</v>
      </c>
      <c r="N86" s="153">
        <f t="shared" si="17"/>
        <v>131815.65000000002</v>
      </c>
      <c r="O86" s="172">
        <f>+I86*100/G86</f>
        <v>47.587755959640241</v>
      </c>
      <c r="Q86">
        <v>87577.389999999985</v>
      </c>
    </row>
    <row r="87" spans="2:17" ht="13.5" x14ac:dyDescent="0.25">
      <c r="B87" s="168">
        <v>171</v>
      </c>
      <c r="C87" s="181" t="s">
        <v>322</v>
      </c>
      <c r="D87" s="182">
        <v>101000</v>
      </c>
      <c r="E87" s="182">
        <v>-101000</v>
      </c>
      <c r="F87" s="170">
        <f t="shared" si="6"/>
        <v>0</v>
      </c>
      <c r="G87" s="154">
        <v>0</v>
      </c>
      <c r="H87" s="154">
        <v>0</v>
      </c>
      <c r="I87" s="154">
        <f>+H87+Q87</f>
        <v>0</v>
      </c>
      <c r="J87" s="170">
        <f t="shared" si="15"/>
        <v>0</v>
      </c>
      <c r="K87" s="154">
        <v>0</v>
      </c>
      <c r="L87" s="154"/>
      <c r="M87" s="154">
        <f t="shared" si="16"/>
        <v>0</v>
      </c>
      <c r="N87" s="154">
        <f t="shared" si="17"/>
        <v>0</v>
      </c>
      <c r="O87" s="167" t="s">
        <v>2</v>
      </c>
      <c r="Q87">
        <v>0</v>
      </c>
    </row>
    <row r="88" spans="2:17" ht="13.5" x14ac:dyDescent="0.25">
      <c r="B88" s="168" t="s">
        <v>145</v>
      </c>
      <c r="C88" s="169" t="s">
        <v>146</v>
      </c>
      <c r="D88" s="170">
        <v>236000</v>
      </c>
      <c r="E88" s="170">
        <v>0</v>
      </c>
      <c r="F88" s="170">
        <f t="shared" si="6"/>
        <v>236000</v>
      </c>
      <c r="G88" s="170">
        <v>218931</v>
      </c>
      <c r="H88" s="170">
        <v>16606.96</v>
      </c>
      <c r="I88" s="154">
        <f>+H88+Q88</f>
        <v>104184.34999999998</v>
      </c>
      <c r="J88" s="170">
        <f t="shared" si="15"/>
        <v>161105.22999999998</v>
      </c>
      <c r="K88" s="170">
        <f>6000+50920.88</f>
        <v>56920.88</v>
      </c>
      <c r="L88" s="154">
        <v>55072</v>
      </c>
      <c r="M88" s="154">
        <f t="shared" si="16"/>
        <v>114746.65000000002</v>
      </c>
      <c r="N88" s="154">
        <f t="shared" si="17"/>
        <v>131815.65000000002</v>
      </c>
      <c r="O88" s="167">
        <f>+I88*100/G88</f>
        <v>47.587755959640241</v>
      </c>
      <c r="Q88">
        <v>87577.389999999985</v>
      </c>
    </row>
    <row r="89" spans="2:17" x14ac:dyDescent="0.2">
      <c r="B89" s="175" t="s">
        <v>147</v>
      </c>
      <c r="C89" s="176" t="s">
        <v>148</v>
      </c>
      <c r="D89" s="164">
        <f>SUM(D90:D95)</f>
        <v>747000</v>
      </c>
      <c r="E89" s="164">
        <f>SUM(E90:E95)</f>
        <v>-267935</v>
      </c>
      <c r="F89" s="164">
        <f t="shared" si="6"/>
        <v>479065</v>
      </c>
      <c r="G89" s="164">
        <f>SUM(G90:G95)</f>
        <v>479065</v>
      </c>
      <c r="H89" s="164">
        <f>SUM(H90:H95)</f>
        <v>39193.75</v>
      </c>
      <c r="I89" s="164">
        <f>SUM(I90:I95)</f>
        <v>367255.72000000003</v>
      </c>
      <c r="J89" s="164">
        <f t="shared" si="15"/>
        <v>668298.72</v>
      </c>
      <c r="K89" s="164">
        <f>SUM(K90:K95)</f>
        <v>301043</v>
      </c>
      <c r="L89" s="164">
        <f>SUM(L90:L95)</f>
        <v>182454.83999999997</v>
      </c>
      <c r="M89" s="153">
        <f t="shared" si="16"/>
        <v>111809.27999999997</v>
      </c>
      <c r="N89" s="153">
        <f t="shared" si="17"/>
        <v>111809.27999999997</v>
      </c>
      <c r="O89" s="172">
        <f>+I89*100/G89</f>
        <v>76.660937451076578</v>
      </c>
      <c r="Q89">
        <v>328158.96999999997</v>
      </c>
    </row>
    <row r="90" spans="2:17" ht="12" customHeight="1" x14ac:dyDescent="0.25">
      <c r="B90" s="177">
        <v>181</v>
      </c>
      <c r="C90" s="171" t="s">
        <v>149</v>
      </c>
      <c r="D90" s="170">
        <v>115760</v>
      </c>
      <c r="E90" s="170">
        <v>-100460</v>
      </c>
      <c r="F90" s="170">
        <f t="shared" si="6"/>
        <v>15300</v>
      </c>
      <c r="G90" s="154">
        <v>15300</v>
      </c>
      <c r="H90" s="154">
        <v>0</v>
      </c>
      <c r="I90" s="154">
        <f t="shared" ref="I90:I95" si="19">+H90+Q90</f>
        <v>11370</v>
      </c>
      <c r="J90" s="170">
        <f t="shared" si="15"/>
        <v>19020</v>
      </c>
      <c r="K90" s="154">
        <v>7650</v>
      </c>
      <c r="L90" s="154">
        <v>11369.61</v>
      </c>
      <c r="M90" s="154">
        <f t="shared" si="16"/>
        <v>3930</v>
      </c>
      <c r="N90" s="154">
        <f t="shared" si="17"/>
        <v>3930</v>
      </c>
      <c r="O90" s="167">
        <f>+I90*100/G90</f>
        <v>74.313725490196077</v>
      </c>
      <c r="Q90">
        <v>11370</v>
      </c>
    </row>
    <row r="91" spans="2:17" ht="15" customHeight="1" x14ac:dyDescent="0.25">
      <c r="B91" s="174" t="s">
        <v>150</v>
      </c>
      <c r="C91" s="171" t="s">
        <v>304</v>
      </c>
      <c r="D91" s="170">
        <v>170943</v>
      </c>
      <c r="E91" s="170">
        <v>152225</v>
      </c>
      <c r="F91" s="170">
        <f t="shared" si="6"/>
        <v>323168</v>
      </c>
      <c r="G91" s="170">
        <v>323168</v>
      </c>
      <c r="H91" s="170">
        <v>32717.22</v>
      </c>
      <c r="I91" s="154">
        <f t="shared" si="19"/>
        <v>256178.88</v>
      </c>
      <c r="J91" s="170">
        <f t="shared" si="15"/>
        <v>463761.88</v>
      </c>
      <c r="K91" s="170">
        <v>207583</v>
      </c>
      <c r="L91" s="170">
        <v>127300.87</v>
      </c>
      <c r="M91" s="154">
        <f t="shared" si="16"/>
        <v>66989.119999999995</v>
      </c>
      <c r="N91" s="154">
        <f t="shared" si="17"/>
        <v>66989.119999999995</v>
      </c>
      <c r="O91" s="167">
        <f>+I91*100/G91</f>
        <v>79.271115952074467</v>
      </c>
      <c r="Q91">
        <f>223559.66-98</f>
        <v>223461.66</v>
      </c>
    </row>
    <row r="92" spans="2:17" ht="13.5" x14ac:dyDescent="0.25">
      <c r="B92" s="168">
        <v>183</v>
      </c>
      <c r="C92" s="171" t="s">
        <v>305</v>
      </c>
      <c r="D92" s="170">
        <v>57870</v>
      </c>
      <c r="E92" s="170">
        <v>-53900</v>
      </c>
      <c r="F92" s="170">
        <f t="shared" si="6"/>
        <v>3970</v>
      </c>
      <c r="G92" s="154">
        <v>3970</v>
      </c>
      <c r="H92" s="154">
        <v>0</v>
      </c>
      <c r="I92" s="154">
        <f t="shared" si="19"/>
        <v>3155</v>
      </c>
      <c r="J92" s="170">
        <f t="shared" si="15"/>
        <v>3155</v>
      </c>
      <c r="K92" s="154"/>
      <c r="L92" s="154">
        <v>3155.86</v>
      </c>
      <c r="M92" s="154">
        <f t="shared" si="16"/>
        <v>815</v>
      </c>
      <c r="N92" s="154">
        <f t="shared" si="17"/>
        <v>815</v>
      </c>
      <c r="O92" s="167">
        <f>+I92*100/G92</f>
        <v>79.471032745591941</v>
      </c>
      <c r="Q92">
        <v>3155</v>
      </c>
    </row>
    <row r="93" spans="2:17" ht="15.75" customHeight="1" x14ac:dyDescent="0.25">
      <c r="B93" s="168">
        <v>184</v>
      </c>
      <c r="C93" s="171" t="s">
        <v>306</v>
      </c>
      <c r="D93" s="170">
        <v>16000</v>
      </c>
      <c r="E93" s="170">
        <v>-16000</v>
      </c>
      <c r="F93" s="170">
        <f t="shared" ref="F93:F161" si="20">+D93+E93</f>
        <v>0</v>
      </c>
      <c r="G93" s="154">
        <v>0</v>
      </c>
      <c r="H93" s="154">
        <v>0</v>
      </c>
      <c r="I93" s="154">
        <f t="shared" si="19"/>
        <v>0</v>
      </c>
      <c r="J93" s="170">
        <f t="shared" si="15"/>
        <v>0</v>
      </c>
      <c r="K93" s="154"/>
      <c r="L93" s="154"/>
      <c r="M93" s="154">
        <f t="shared" si="16"/>
        <v>0</v>
      </c>
      <c r="N93" s="154">
        <f t="shared" si="17"/>
        <v>0</v>
      </c>
      <c r="O93" s="167" t="s">
        <v>2</v>
      </c>
      <c r="Q93">
        <v>0</v>
      </c>
    </row>
    <row r="94" spans="2:17" ht="15" customHeight="1" x14ac:dyDescent="0.25">
      <c r="B94" s="168">
        <v>185</v>
      </c>
      <c r="C94" s="171" t="s">
        <v>315</v>
      </c>
      <c r="D94" s="170">
        <v>107800</v>
      </c>
      <c r="E94" s="170">
        <v>-85800</v>
      </c>
      <c r="F94" s="170">
        <f t="shared" si="20"/>
        <v>22000</v>
      </c>
      <c r="G94" s="154">
        <v>22000</v>
      </c>
      <c r="H94" s="154">
        <v>0</v>
      </c>
      <c r="I94" s="154">
        <f t="shared" si="19"/>
        <v>12219.4</v>
      </c>
      <c r="J94" s="170">
        <f t="shared" si="15"/>
        <v>21678.400000000001</v>
      </c>
      <c r="K94" s="154">
        <v>9459</v>
      </c>
      <c r="L94" s="154">
        <v>6473.5</v>
      </c>
      <c r="M94" s="154">
        <f t="shared" si="16"/>
        <v>9780.6</v>
      </c>
      <c r="N94" s="154">
        <f t="shared" si="17"/>
        <v>9780.6</v>
      </c>
      <c r="O94" s="167">
        <f>+I94*100/G94</f>
        <v>55.542727272727269</v>
      </c>
      <c r="Q94">
        <v>12219.4</v>
      </c>
    </row>
    <row r="95" spans="2:17" ht="14.25" customHeight="1" x14ac:dyDescent="0.25">
      <c r="B95" s="168" t="s">
        <v>151</v>
      </c>
      <c r="C95" s="169" t="s">
        <v>152</v>
      </c>
      <c r="D95" s="170">
        <v>278627</v>
      </c>
      <c r="E95" s="170">
        <v>-164000</v>
      </c>
      <c r="F95" s="170">
        <f t="shared" si="20"/>
        <v>114627</v>
      </c>
      <c r="G95" s="154">
        <v>114627</v>
      </c>
      <c r="H95" s="154">
        <v>6476.53</v>
      </c>
      <c r="I95" s="154">
        <f t="shared" si="19"/>
        <v>84332.44</v>
      </c>
      <c r="J95" s="170">
        <f t="shared" si="15"/>
        <v>160683.44</v>
      </c>
      <c r="K95" s="154">
        <v>76351</v>
      </c>
      <c r="L95" s="154">
        <v>34155</v>
      </c>
      <c r="M95" s="154">
        <f t="shared" si="16"/>
        <v>30294.559999999998</v>
      </c>
      <c r="N95" s="154">
        <f t="shared" si="17"/>
        <v>30294.559999999998</v>
      </c>
      <c r="O95" s="167">
        <f>+I95*100/G95</f>
        <v>73.571183054603196</v>
      </c>
      <c r="Q95">
        <v>77855.91</v>
      </c>
    </row>
    <row r="96" spans="2:17" ht="16.5" customHeight="1" x14ac:dyDescent="0.2">
      <c r="B96" s="88">
        <v>190</v>
      </c>
      <c r="C96" s="89" t="s">
        <v>153</v>
      </c>
      <c r="D96" s="90"/>
      <c r="E96" s="90">
        <f>SUM(E97:E103)</f>
        <v>92475</v>
      </c>
      <c r="F96" s="90">
        <f>SUM(F97:F103)</f>
        <v>92475</v>
      </c>
      <c r="G96" s="91">
        <f>SUM(G97:G103)</f>
        <v>92475</v>
      </c>
      <c r="H96" s="92">
        <f>SUM(H97:H103)</f>
        <v>68245.570000000007</v>
      </c>
      <c r="I96" s="278">
        <f>SUM(I97:I103)</f>
        <v>82854.680000000008</v>
      </c>
      <c r="J96" s="164">
        <f t="shared" si="15"/>
        <v>83935.680000000008</v>
      </c>
      <c r="K96" s="92">
        <f>SUM(K97:K103)</f>
        <v>1081</v>
      </c>
      <c r="L96" s="90">
        <f>SUM(L97:L103)</f>
        <v>11289.32</v>
      </c>
      <c r="M96" s="153">
        <f t="shared" si="16"/>
        <v>9620.3199999999924</v>
      </c>
      <c r="N96" s="102">
        <f t="shared" si="17"/>
        <v>9620.3199999999924</v>
      </c>
      <c r="O96" s="103">
        <f>+I96*100/G96</f>
        <v>89.596842389835103</v>
      </c>
      <c r="P96" s="7"/>
      <c r="Q96">
        <v>14609.11</v>
      </c>
    </row>
    <row r="97" spans="2:17" ht="15" customHeight="1" x14ac:dyDescent="0.25">
      <c r="B97" s="96">
        <v>191</v>
      </c>
      <c r="C97" s="97" t="s">
        <v>154</v>
      </c>
      <c r="D97" s="90"/>
      <c r="E97" s="98">
        <v>67675</v>
      </c>
      <c r="F97" s="98">
        <f t="shared" si="20"/>
        <v>67675</v>
      </c>
      <c r="G97" s="100">
        <v>67675</v>
      </c>
      <c r="H97" s="111">
        <v>67624.570000000007</v>
      </c>
      <c r="I97" s="264">
        <f>+H97+Q97</f>
        <v>67624.570000000007</v>
      </c>
      <c r="J97" s="170">
        <f t="shared" si="15"/>
        <v>67624.570000000007</v>
      </c>
      <c r="K97" s="111">
        <v>0</v>
      </c>
      <c r="L97" s="94"/>
      <c r="M97" s="154">
        <f t="shared" si="16"/>
        <v>50.429999999993015</v>
      </c>
      <c r="N97" s="94">
        <f t="shared" si="17"/>
        <v>50.429999999993015</v>
      </c>
      <c r="O97" s="95"/>
      <c r="Q97">
        <v>0</v>
      </c>
    </row>
    <row r="98" spans="2:17" ht="16.5" customHeight="1" x14ac:dyDescent="0.25">
      <c r="B98" s="96">
        <v>192</v>
      </c>
      <c r="C98" s="97" t="s">
        <v>155</v>
      </c>
      <c r="D98" s="98"/>
      <c r="E98" s="98">
        <v>600</v>
      </c>
      <c r="F98" s="98">
        <f t="shared" si="20"/>
        <v>600</v>
      </c>
      <c r="G98" s="100">
        <v>600</v>
      </c>
      <c r="H98" s="111">
        <v>0</v>
      </c>
      <c r="I98" s="264">
        <f>+Q98+H98</f>
        <v>600</v>
      </c>
      <c r="J98" s="170">
        <f t="shared" si="15"/>
        <v>600</v>
      </c>
      <c r="K98" s="111">
        <v>0</v>
      </c>
      <c r="L98" s="94"/>
      <c r="M98" s="154">
        <f t="shared" si="16"/>
        <v>0</v>
      </c>
      <c r="N98" s="94">
        <f t="shared" si="17"/>
        <v>0</v>
      </c>
      <c r="O98" s="95"/>
      <c r="Q98">
        <v>600</v>
      </c>
    </row>
    <row r="99" spans="2:17" ht="13.5" customHeight="1" x14ac:dyDescent="0.25">
      <c r="B99" s="96">
        <v>195</v>
      </c>
      <c r="C99" s="97" t="s">
        <v>156</v>
      </c>
      <c r="D99" s="98"/>
      <c r="E99" s="98">
        <v>6270</v>
      </c>
      <c r="F99" s="98">
        <f t="shared" si="20"/>
        <v>6270</v>
      </c>
      <c r="G99" s="100">
        <v>6270</v>
      </c>
      <c r="H99" s="111">
        <v>0</v>
      </c>
      <c r="I99" s="264">
        <f>+H99+Q99</f>
        <v>4071</v>
      </c>
      <c r="J99" s="170">
        <f t="shared" si="15"/>
        <v>4091</v>
      </c>
      <c r="K99" s="111">
        <v>20</v>
      </c>
      <c r="L99" s="94">
        <v>4071</v>
      </c>
      <c r="M99" s="154">
        <f t="shared" si="16"/>
        <v>2199</v>
      </c>
      <c r="N99" s="94">
        <f t="shared" si="17"/>
        <v>2199</v>
      </c>
      <c r="O99" s="95">
        <f>+I99*100/G99</f>
        <v>64.928229665071768</v>
      </c>
      <c r="Q99">
        <v>4071</v>
      </c>
    </row>
    <row r="100" spans="2:17" ht="12" customHeight="1" x14ac:dyDescent="0.25">
      <c r="B100" s="96">
        <v>196</v>
      </c>
      <c r="C100" s="97" t="s">
        <v>157</v>
      </c>
      <c r="D100" s="98"/>
      <c r="E100" s="98">
        <v>7280</v>
      </c>
      <c r="F100" s="98">
        <f t="shared" si="20"/>
        <v>7280</v>
      </c>
      <c r="G100" s="100">
        <v>7280</v>
      </c>
      <c r="H100" s="111">
        <v>0</v>
      </c>
      <c r="I100" s="264">
        <f>+H100+Q100</f>
        <v>5174.8200000000006</v>
      </c>
      <c r="J100" s="170">
        <f t="shared" si="15"/>
        <v>5192.8200000000006</v>
      </c>
      <c r="K100" s="111">
        <v>18</v>
      </c>
      <c r="L100" s="94">
        <v>5174.62</v>
      </c>
      <c r="M100" s="154">
        <f t="shared" si="16"/>
        <v>2105.1799999999994</v>
      </c>
      <c r="N100" s="94">
        <f t="shared" si="17"/>
        <v>2105.1799999999994</v>
      </c>
      <c r="O100" s="95">
        <f>+I100*100/G100</f>
        <v>71.082692307692312</v>
      </c>
      <c r="Q100">
        <v>5174.8200000000006</v>
      </c>
    </row>
    <row r="101" spans="2:17" ht="15" customHeight="1" x14ac:dyDescent="0.25">
      <c r="B101" s="96">
        <v>197</v>
      </c>
      <c r="C101" s="97" t="s">
        <v>158</v>
      </c>
      <c r="D101" s="98"/>
      <c r="E101" s="98">
        <v>5000</v>
      </c>
      <c r="F101" s="98">
        <f t="shared" si="20"/>
        <v>5000</v>
      </c>
      <c r="G101" s="100">
        <v>5000</v>
      </c>
      <c r="H101" s="111">
        <v>0</v>
      </c>
      <c r="I101" s="264">
        <f>+H101+Q101</f>
        <v>0</v>
      </c>
      <c r="J101" s="170">
        <f t="shared" si="15"/>
        <v>0</v>
      </c>
      <c r="K101" s="111">
        <v>0</v>
      </c>
      <c r="L101" s="94"/>
      <c r="M101" s="154">
        <f t="shared" si="16"/>
        <v>5000</v>
      </c>
      <c r="N101" s="94">
        <f t="shared" si="17"/>
        <v>5000</v>
      </c>
      <c r="O101" s="95"/>
      <c r="Q101">
        <v>0</v>
      </c>
    </row>
    <row r="102" spans="2:17" ht="15.75" customHeight="1" x14ac:dyDescent="0.25">
      <c r="B102" s="96">
        <v>198</v>
      </c>
      <c r="C102" s="97" t="s">
        <v>159</v>
      </c>
      <c r="D102" s="98"/>
      <c r="E102" s="98"/>
      <c r="F102" s="98">
        <f t="shared" si="20"/>
        <v>0</v>
      </c>
      <c r="G102" s="98"/>
      <c r="H102" s="104">
        <v>0</v>
      </c>
      <c r="I102" s="264">
        <f>+H102+Q102</f>
        <v>0</v>
      </c>
      <c r="J102" s="170">
        <f t="shared" si="15"/>
        <v>0</v>
      </c>
      <c r="K102" s="104">
        <v>0</v>
      </c>
      <c r="L102" s="94"/>
      <c r="M102" s="154">
        <f t="shared" si="16"/>
        <v>0</v>
      </c>
      <c r="N102" s="94">
        <f t="shared" si="17"/>
        <v>0</v>
      </c>
      <c r="O102" s="95"/>
      <c r="Q102">
        <v>0</v>
      </c>
    </row>
    <row r="103" spans="2:17" ht="13.5" customHeight="1" x14ac:dyDescent="0.25">
      <c r="B103" s="114">
        <v>199</v>
      </c>
      <c r="C103" s="115" t="s">
        <v>160</v>
      </c>
      <c r="D103" s="116"/>
      <c r="E103" s="116">
        <v>5650</v>
      </c>
      <c r="F103" s="116">
        <f t="shared" si="20"/>
        <v>5650</v>
      </c>
      <c r="G103" s="116">
        <v>5650</v>
      </c>
      <c r="H103" s="117">
        <v>621</v>
      </c>
      <c r="I103" s="264">
        <f>+H103+Q103</f>
        <v>5384.29</v>
      </c>
      <c r="J103" s="170">
        <f t="shared" si="15"/>
        <v>6427.29</v>
      </c>
      <c r="K103" s="117">
        <v>1043</v>
      </c>
      <c r="L103" s="118">
        <v>2043.7</v>
      </c>
      <c r="M103" s="154">
        <f t="shared" si="16"/>
        <v>265.71000000000004</v>
      </c>
      <c r="N103" s="118">
        <f t="shared" si="17"/>
        <v>265.71000000000004</v>
      </c>
      <c r="O103" s="119">
        <f>+I103*100/G103</f>
        <v>95.29716814159292</v>
      </c>
      <c r="Q103">
        <v>4763.29</v>
      </c>
    </row>
    <row r="104" spans="2:17" ht="0.75" customHeight="1" x14ac:dyDescent="0.25">
      <c r="B104" s="120"/>
      <c r="C104" s="121"/>
      <c r="D104" s="122"/>
      <c r="E104" s="122"/>
      <c r="F104" s="122"/>
      <c r="G104" s="122"/>
      <c r="H104" s="123"/>
      <c r="I104" s="279"/>
      <c r="J104" s="170">
        <f t="shared" si="15"/>
        <v>0</v>
      </c>
      <c r="K104" s="123"/>
      <c r="L104" s="124">
        <v>2043.7</v>
      </c>
      <c r="M104" s="154">
        <f t="shared" si="16"/>
        <v>0</v>
      </c>
      <c r="N104" s="124"/>
      <c r="O104" s="125"/>
    </row>
    <row r="105" spans="2:17" ht="13.5" x14ac:dyDescent="0.25">
      <c r="B105" s="120"/>
      <c r="C105" s="121"/>
      <c r="D105" s="122"/>
      <c r="E105" s="122"/>
      <c r="F105" s="122"/>
      <c r="G105" s="122"/>
      <c r="H105" s="123"/>
      <c r="I105" s="279"/>
      <c r="J105" s="170">
        <f t="shared" si="15"/>
        <v>0</v>
      </c>
      <c r="K105" s="123"/>
      <c r="L105" s="124"/>
      <c r="M105" s="154">
        <f t="shared" si="16"/>
        <v>0</v>
      </c>
      <c r="N105" s="124"/>
      <c r="O105" s="125"/>
    </row>
    <row r="106" spans="2:17" x14ac:dyDescent="0.2">
      <c r="B106" s="88" t="s">
        <v>161</v>
      </c>
      <c r="C106" s="89" t="s">
        <v>162</v>
      </c>
      <c r="D106" s="90">
        <f>+D107+D112+D118+D129+D140+D147+D156+D162+D171+D173</f>
        <v>1792000</v>
      </c>
      <c r="E106" s="90">
        <f>+E107+E112+E118+E129+E140+E147+E156+E162+E171+E173</f>
        <v>1150921</v>
      </c>
      <c r="F106" s="90">
        <f t="shared" si="20"/>
        <v>2942921</v>
      </c>
      <c r="G106" s="91">
        <f>+G107+G112+G118+G129+G140+G147+G156+G162+G171+G173</f>
        <v>2942921</v>
      </c>
      <c r="H106" s="91">
        <f>+H107+H112+H118+H129+H140+H147+H156+H162+H171+H173</f>
        <v>240133.76000000001</v>
      </c>
      <c r="I106" s="280">
        <f>+I107+I112+I118+I129+I140+I147+I156+I162+I171+I173</f>
        <v>2327688.6029999997</v>
      </c>
      <c r="J106" s="164">
        <f t="shared" si="15"/>
        <v>3016995.9029999999</v>
      </c>
      <c r="K106" s="91">
        <f>+K107+K112+K118+K129+K140+K147+K156+K162+K171+K173</f>
        <v>689307.3</v>
      </c>
      <c r="L106" s="91">
        <f>+L107+L112+L118+L129+L140+L147+L156+L162+L171+L173</f>
        <v>1664010.5899999999</v>
      </c>
      <c r="M106" s="153">
        <f t="shared" si="16"/>
        <v>615232.39700000035</v>
      </c>
      <c r="N106" s="102">
        <f t="shared" ref="N106:N123" si="21">+F106-I106</f>
        <v>615232.39700000035</v>
      </c>
      <c r="O106" s="103">
        <f>+I106*100/G106</f>
        <v>79.094498391224207</v>
      </c>
      <c r="Q106">
        <v>2079724.3130000001</v>
      </c>
    </row>
    <row r="107" spans="2:17" ht="15" customHeight="1" x14ac:dyDescent="0.25">
      <c r="B107" s="88" t="s">
        <v>163</v>
      </c>
      <c r="C107" s="89" t="s">
        <v>164</v>
      </c>
      <c r="D107" s="90">
        <f>SUM(D108:D110)</f>
        <v>231000</v>
      </c>
      <c r="E107" s="90">
        <f>SUM(E108:E111)</f>
        <v>-133316</v>
      </c>
      <c r="F107" s="90">
        <f t="shared" si="20"/>
        <v>97684</v>
      </c>
      <c r="G107" s="91">
        <f>+G108+G110+G109</f>
        <v>97684</v>
      </c>
      <c r="H107" s="92">
        <f>SUM(H108:H110)</f>
        <v>5321.9299999999994</v>
      </c>
      <c r="I107" s="278">
        <f>+I108+I110</f>
        <v>52294.170000000006</v>
      </c>
      <c r="J107" s="170">
        <f t="shared" si="15"/>
        <v>56419.170000000006</v>
      </c>
      <c r="K107" s="92">
        <f>SUM(K108:K110)</f>
        <v>4125</v>
      </c>
      <c r="L107" s="90">
        <f>SUM(L108:L110)</f>
        <v>48845.19</v>
      </c>
      <c r="M107" s="153">
        <f t="shared" si="16"/>
        <v>45389.829999999994</v>
      </c>
      <c r="N107" s="102">
        <f t="shared" si="21"/>
        <v>45389.829999999994</v>
      </c>
      <c r="O107" s="103">
        <f>+I107*100/G107</f>
        <v>53.534017853486766</v>
      </c>
      <c r="Q107">
        <v>46972.04</v>
      </c>
    </row>
    <row r="108" spans="2:17" ht="13.5" x14ac:dyDescent="0.25">
      <c r="B108" s="108" t="s">
        <v>165</v>
      </c>
      <c r="C108" s="99" t="s">
        <v>166</v>
      </c>
      <c r="D108" s="98">
        <v>209978</v>
      </c>
      <c r="E108" s="98">
        <v>-125000</v>
      </c>
      <c r="F108" s="98">
        <f t="shared" si="20"/>
        <v>84978</v>
      </c>
      <c r="G108" s="100">
        <v>84978</v>
      </c>
      <c r="H108" s="112">
        <v>4806.9799999999996</v>
      </c>
      <c r="I108" s="264">
        <f>+Q108+H108</f>
        <v>48067.770000000004</v>
      </c>
      <c r="J108" s="170">
        <f t="shared" si="15"/>
        <v>51428.770000000004</v>
      </c>
      <c r="K108" s="112">
        <v>3361</v>
      </c>
      <c r="L108" s="98">
        <v>45197.14</v>
      </c>
      <c r="M108" s="154">
        <f t="shared" si="16"/>
        <v>36910.229999999996</v>
      </c>
      <c r="N108" s="94">
        <f t="shared" si="21"/>
        <v>36910.229999999996</v>
      </c>
      <c r="O108" s="95">
        <f>+I108*100/G108</f>
        <v>56.564957989126597</v>
      </c>
      <c r="Q108">
        <v>43260.79</v>
      </c>
    </row>
    <row r="109" spans="2:17" ht="13.5" x14ac:dyDescent="0.25">
      <c r="B109" s="113">
        <v>202</v>
      </c>
      <c r="C109" s="261" t="s">
        <v>395</v>
      </c>
      <c r="D109" s="230"/>
      <c r="E109" s="230">
        <v>700</v>
      </c>
      <c r="F109" s="230"/>
      <c r="G109" s="262">
        <v>700</v>
      </c>
      <c r="H109" s="263">
        <v>0</v>
      </c>
      <c r="I109" s="264">
        <f>+Q109+H109</f>
        <v>0</v>
      </c>
      <c r="J109" s="170">
        <f t="shared" si="15"/>
        <v>700</v>
      </c>
      <c r="K109" s="263">
        <v>700</v>
      </c>
      <c r="L109" s="230"/>
      <c r="M109" s="154">
        <f t="shared" si="16"/>
        <v>700</v>
      </c>
      <c r="N109" s="94">
        <f t="shared" si="21"/>
        <v>0</v>
      </c>
      <c r="O109" s="95">
        <f>+I109*100/G109</f>
        <v>0</v>
      </c>
      <c r="Q109">
        <v>0</v>
      </c>
    </row>
    <row r="110" spans="2:17" ht="12" customHeight="1" x14ac:dyDescent="0.25">
      <c r="B110" s="96" t="s">
        <v>167</v>
      </c>
      <c r="C110" s="97" t="s">
        <v>168</v>
      </c>
      <c r="D110" s="98">
        <v>21022</v>
      </c>
      <c r="E110" s="98">
        <v>-9016</v>
      </c>
      <c r="F110" s="98">
        <f t="shared" si="20"/>
        <v>12006</v>
      </c>
      <c r="G110" s="104">
        <v>12006</v>
      </c>
      <c r="H110" s="111">
        <v>514.95000000000005</v>
      </c>
      <c r="I110" s="264">
        <f>+Q110+H110</f>
        <v>4226.3999999999996</v>
      </c>
      <c r="J110" s="170">
        <f t="shared" si="15"/>
        <v>4290.3999999999996</v>
      </c>
      <c r="K110" s="111">
        <v>64</v>
      </c>
      <c r="L110" s="94">
        <v>3648.05</v>
      </c>
      <c r="M110" s="154">
        <f t="shared" si="16"/>
        <v>7779.6</v>
      </c>
      <c r="N110" s="94">
        <f t="shared" si="21"/>
        <v>7779.6</v>
      </c>
      <c r="O110" s="95">
        <f>+I110*100/G110</f>
        <v>35.202398800599696</v>
      </c>
      <c r="Q110">
        <v>3711.45</v>
      </c>
    </row>
    <row r="111" spans="2:17" ht="13.5" hidden="1" x14ac:dyDescent="0.25">
      <c r="B111" s="96" t="s">
        <v>169</v>
      </c>
      <c r="C111" s="97" t="s">
        <v>170</v>
      </c>
      <c r="D111" s="98"/>
      <c r="E111" s="98">
        <v>0</v>
      </c>
      <c r="F111" s="98">
        <f t="shared" si="20"/>
        <v>0</v>
      </c>
      <c r="G111" s="104">
        <v>0</v>
      </c>
      <c r="H111" s="111"/>
      <c r="I111" s="264">
        <f>+Q111+H111</f>
        <v>0</v>
      </c>
      <c r="J111" s="170">
        <f t="shared" si="15"/>
        <v>0</v>
      </c>
      <c r="K111" s="111"/>
      <c r="L111" s="94"/>
      <c r="M111" s="154">
        <f t="shared" si="16"/>
        <v>0</v>
      </c>
      <c r="N111" s="94">
        <f t="shared" si="21"/>
        <v>0</v>
      </c>
      <c r="O111" s="127">
        <v>0</v>
      </c>
      <c r="Q111">
        <v>0</v>
      </c>
    </row>
    <row r="112" spans="2:17" x14ac:dyDescent="0.2">
      <c r="B112" s="109" t="s">
        <v>171</v>
      </c>
      <c r="C112" s="110" t="s">
        <v>172</v>
      </c>
      <c r="D112" s="90">
        <f>SUM(D113:D117)</f>
        <v>48000</v>
      </c>
      <c r="E112" s="90">
        <f>SUM(E113:E117)</f>
        <v>158696</v>
      </c>
      <c r="F112" s="90">
        <f t="shared" si="20"/>
        <v>206696</v>
      </c>
      <c r="G112" s="92">
        <f>SUM(G113:G117)</f>
        <v>206696</v>
      </c>
      <c r="H112" s="92">
        <f>SUM(H113:H117)</f>
        <v>6568.8899999999994</v>
      </c>
      <c r="I112" s="280">
        <f>SUM(I113:I117)</f>
        <v>127709.30999999998</v>
      </c>
      <c r="J112" s="164">
        <f t="shared" si="15"/>
        <v>212737.31</v>
      </c>
      <c r="K112" s="92">
        <f>SUM(K113:K117)</f>
        <v>85028</v>
      </c>
      <c r="L112" s="90">
        <f>SUM(L113:L117)</f>
        <v>101489.14</v>
      </c>
      <c r="M112" s="153">
        <f t="shared" si="16"/>
        <v>78986.690000000017</v>
      </c>
      <c r="N112" s="102">
        <f t="shared" si="21"/>
        <v>78986.690000000017</v>
      </c>
      <c r="O112" s="103">
        <f t="shared" ref="O112:O123" si="22">+I112*100/G112</f>
        <v>61.786057785346586</v>
      </c>
      <c r="Q112">
        <v>121139.83999999998</v>
      </c>
    </row>
    <row r="113" spans="2:17" ht="13.5" x14ac:dyDescent="0.25">
      <c r="B113" s="108" t="s">
        <v>173</v>
      </c>
      <c r="C113" s="99" t="s">
        <v>174</v>
      </c>
      <c r="D113" s="98">
        <v>15480</v>
      </c>
      <c r="E113" s="98">
        <v>33576</v>
      </c>
      <c r="F113" s="98">
        <f t="shared" si="20"/>
        <v>49056</v>
      </c>
      <c r="G113" s="104">
        <v>49056</v>
      </c>
      <c r="H113" s="111">
        <v>322</v>
      </c>
      <c r="I113" s="264">
        <f>+Q113+H113</f>
        <v>35636.449999999997</v>
      </c>
      <c r="J113" s="170">
        <f t="shared" si="15"/>
        <v>46385.45</v>
      </c>
      <c r="K113" s="111">
        <v>10749</v>
      </c>
      <c r="L113" s="94">
        <v>28462.2</v>
      </c>
      <c r="M113" s="154">
        <f t="shared" si="16"/>
        <v>13419.550000000003</v>
      </c>
      <c r="N113" s="94">
        <f t="shared" si="21"/>
        <v>13419.550000000003</v>
      </c>
      <c r="O113" s="95">
        <f t="shared" si="22"/>
        <v>72.644426777560327</v>
      </c>
      <c r="Q113">
        <v>35314.449999999997</v>
      </c>
    </row>
    <row r="114" spans="2:17" ht="13.5" x14ac:dyDescent="0.25">
      <c r="B114" s="96" t="s">
        <v>175</v>
      </c>
      <c r="C114" s="97" t="s">
        <v>176</v>
      </c>
      <c r="D114" s="98">
        <v>3935</v>
      </c>
      <c r="E114" s="98">
        <v>21700</v>
      </c>
      <c r="F114" s="98">
        <f t="shared" si="20"/>
        <v>25635</v>
      </c>
      <c r="G114" s="104">
        <v>25635</v>
      </c>
      <c r="H114" s="111">
        <v>1362.19</v>
      </c>
      <c r="I114" s="264">
        <f>+Q114+H114</f>
        <v>16442.71</v>
      </c>
      <c r="J114" s="170">
        <f t="shared" si="15"/>
        <v>24620.71</v>
      </c>
      <c r="K114" s="111">
        <v>8178</v>
      </c>
      <c r="L114" s="94">
        <v>12849.5</v>
      </c>
      <c r="M114" s="154">
        <f t="shared" si="16"/>
        <v>9192.2900000000009</v>
      </c>
      <c r="N114" s="94">
        <f t="shared" si="21"/>
        <v>9192.2900000000009</v>
      </c>
      <c r="O114" s="95">
        <f t="shared" si="22"/>
        <v>64.141642285937195</v>
      </c>
      <c r="Q114">
        <v>15080.52</v>
      </c>
    </row>
    <row r="115" spans="2:17" ht="13.5" x14ac:dyDescent="0.25">
      <c r="B115" s="96" t="s">
        <v>177</v>
      </c>
      <c r="C115" s="97" t="s">
        <v>178</v>
      </c>
      <c r="D115" s="98">
        <v>17910</v>
      </c>
      <c r="E115" s="98">
        <v>-6330</v>
      </c>
      <c r="F115" s="98">
        <f t="shared" si="20"/>
        <v>11580</v>
      </c>
      <c r="G115" s="104">
        <v>11580</v>
      </c>
      <c r="H115" s="111">
        <v>54.2</v>
      </c>
      <c r="I115" s="264">
        <f>+Q115+H115</f>
        <v>5132.16</v>
      </c>
      <c r="J115" s="170">
        <f t="shared" si="15"/>
        <v>5196.16</v>
      </c>
      <c r="K115" s="111">
        <v>64</v>
      </c>
      <c r="L115" s="94">
        <v>5077.96</v>
      </c>
      <c r="M115" s="154">
        <f t="shared" si="16"/>
        <v>6447.84</v>
      </c>
      <c r="N115" s="94">
        <f t="shared" si="21"/>
        <v>6447.84</v>
      </c>
      <c r="O115" s="95">
        <f t="shared" si="22"/>
        <v>44.319170984455958</v>
      </c>
      <c r="Q115">
        <v>5077.96</v>
      </c>
    </row>
    <row r="116" spans="2:17" ht="13.5" x14ac:dyDescent="0.25">
      <c r="B116" s="96" t="s">
        <v>179</v>
      </c>
      <c r="C116" s="97" t="s">
        <v>180</v>
      </c>
      <c r="D116" s="98">
        <v>7555</v>
      </c>
      <c r="E116" s="98">
        <v>108900</v>
      </c>
      <c r="F116" s="98">
        <f t="shared" si="20"/>
        <v>116455</v>
      </c>
      <c r="G116" s="104">
        <v>116455</v>
      </c>
      <c r="H116" s="111">
        <v>3883.56</v>
      </c>
      <c r="I116" s="264">
        <f>+Q116+H116</f>
        <v>69267.009999999995</v>
      </c>
      <c r="J116" s="170">
        <f t="shared" si="15"/>
        <v>135272.01</v>
      </c>
      <c r="K116" s="111">
        <v>66005</v>
      </c>
      <c r="L116" s="94">
        <v>54815.48</v>
      </c>
      <c r="M116" s="154">
        <f t="shared" si="16"/>
        <v>47187.990000000005</v>
      </c>
      <c r="N116" s="94">
        <f t="shared" si="21"/>
        <v>47187.990000000005</v>
      </c>
      <c r="O116" s="95">
        <f t="shared" si="22"/>
        <v>59.479635910866854</v>
      </c>
      <c r="Q116">
        <v>65383.45</v>
      </c>
    </row>
    <row r="117" spans="2:17" ht="13.5" x14ac:dyDescent="0.25">
      <c r="B117" s="96" t="s">
        <v>181</v>
      </c>
      <c r="C117" s="97" t="s">
        <v>182</v>
      </c>
      <c r="D117" s="98">
        <v>3120</v>
      </c>
      <c r="E117" s="98">
        <v>850</v>
      </c>
      <c r="F117" s="98">
        <f t="shared" si="20"/>
        <v>3970</v>
      </c>
      <c r="G117" s="104">
        <v>3970</v>
      </c>
      <c r="H117" s="111">
        <v>946.94</v>
      </c>
      <c r="I117" s="264">
        <f>+Q117+H117</f>
        <v>1230.98</v>
      </c>
      <c r="J117" s="170">
        <f t="shared" si="15"/>
        <v>1262.98</v>
      </c>
      <c r="K117" s="111">
        <v>32</v>
      </c>
      <c r="L117" s="94">
        <v>284</v>
      </c>
      <c r="M117" s="154">
        <f t="shared" si="16"/>
        <v>2739.02</v>
      </c>
      <c r="N117" s="94">
        <f t="shared" si="21"/>
        <v>2739.02</v>
      </c>
      <c r="O117" s="95">
        <f t="shared" si="22"/>
        <v>31.00705289672544</v>
      </c>
      <c r="Q117">
        <v>284.03999999999996</v>
      </c>
    </row>
    <row r="118" spans="2:17" x14ac:dyDescent="0.2">
      <c r="B118" s="109" t="s">
        <v>183</v>
      </c>
      <c r="C118" s="110" t="s">
        <v>184</v>
      </c>
      <c r="D118" s="90">
        <f>SUM(D119:D123)</f>
        <v>106000</v>
      </c>
      <c r="E118" s="90">
        <f>SUM(E119:E123)</f>
        <v>228450</v>
      </c>
      <c r="F118" s="90">
        <f t="shared" si="20"/>
        <v>334450</v>
      </c>
      <c r="G118" s="92">
        <f>SUM(G119:G123)</f>
        <v>334450</v>
      </c>
      <c r="H118" s="92">
        <f>SUM(H119:H123)</f>
        <v>3122.47</v>
      </c>
      <c r="I118" s="281">
        <f>SUM(I119:I123)</f>
        <v>221835.193</v>
      </c>
      <c r="J118" s="164">
        <f t="shared" si="15"/>
        <v>430072.19299999997</v>
      </c>
      <c r="K118" s="92">
        <f>SUM(K119:K123)</f>
        <v>208237</v>
      </c>
      <c r="L118" s="90">
        <f>SUM(L119:L123)</f>
        <v>151583.03</v>
      </c>
      <c r="M118" s="153">
        <f t="shared" si="16"/>
        <v>112614.807</v>
      </c>
      <c r="N118" s="102">
        <f t="shared" si="21"/>
        <v>112614.807</v>
      </c>
      <c r="O118" s="103">
        <f t="shared" si="22"/>
        <v>66.328357901031552</v>
      </c>
      <c r="Q118">
        <v>218712.42300000001</v>
      </c>
    </row>
    <row r="119" spans="2:17" ht="13.5" x14ac:dyDescent="0.25">
      <c r="B119" s="108" t="s">
        <v>185</v>
      </c>
      <c r="C119" s="99" t="s">
        <v>186</v>
      </c>
      <c r="D119" s="98">
        <v>29035</v>
      </c>
      <c r="E119" s="98">
        <v>114400</v>
      </c>
      <c r="F119" s="98">
        <f t="shared" si="20"/>
        <v>143435</v>
      </c>
      <c r="G119" s="104">
        <v>143435</v>
      </c>
      <c r="H119" s="111">
        <v>0</v>
      </c>
      <c r="I119" s="264">
        <f>+Q119+H119</f>
        <v>82650.19</v>
      </c>
      <c r="J119" s="170">
        <f t="shared" si="15"/>
        <v>185733.19</v>
      </c>
      <c r="K119" s="111">
        <v>103083</v>
      </c>
      <c r="L119" s="94">
        <v>82650.19</v>
      </c>
      <c r="M119" s="154">
        <f t="shared" si="16"/>
        <v>60784.81</v>
      </c>
      <c r="N119" s="94">
        <f t="shared" si="21"/>
        <v>60784.81</v>
      </c>
      <c r="O119" s="95">
        <f t="shared" si="22"/>
        <v>57.622051800467112</v>
      </c>
      <c r="Q119">
        <v>82650.19</v>
      </c>
    </row>
    <row r="120" spans="2:17" ht="13.5" x14ac:dyDescent="0.25">
      <c r="B120" s="113">
        <v>222</v>
      </c>
      <c r="C120" s="99" t="s">
        <v>296</v>
      </c>
      <c r="D120" s="98">
        <v>11711</v>
      </c>
      <c r="E120" s="98">
        <v>133400</v>
      </c>
      <c r="F120" s="98">
        <f t="shared" si="20"/>
        <v>145111</v>
      </c>
      <c r="G120" s="100">
        <v>145111</v>
      </c>
      <c r="H120" s="112">
        <v>3325</v>
      </c>
      <c r="I120" s="264">
        <f>+Q120+H120</f>
        <v>115127.45</v>
      </c>
      <c r="J120" s="170">
        <f t="shared" si="15"/>
        <v>200988.45</v>
      </c>
      <c r="K120" s="112">
        <f>55861+30000</f>
        <v>85861</v>
      </c>
      <c r="L120" s="94">
        <v>47334.73</v>
      </c>
      <c r="M120" s="154">
        <f t="shared" si="16"/>
        <v>29983.550000000003</v>
      </c>
      <c r="N120" s="94">
        <f t="shared" si="21"/>
        <v>29983.550000000003</v>
      </c>
      <c r="O120" s="95">
        <f t="shared" si="22"/>
        <v>79.337507149699192</v>
      </c>
      <c r="Q120">
        <v>111802.45</v>
      </c>
    </row>
    <row r="121" spans="2:17" ht="16.5" customHeight="1" x14ac:dyDescent="0.25">
      <c r="B121" s="96" t="s">
        <v>187</v>
      </c>
      <c r="C121" s="97" t="s">
        <v>188</v>
      </c>
      <c r="D121" s="98">
        <v>27939</v>
      </c>
      <c r="E121" s="98">
        <v>-1000</v>
      </c>
      <c r="F121" s="98">
        <f t="shared" si="20"/>
        <v>26939</v>
      </c>
      <c r="G121" s="104">
        <v>26939</v>
      </c>
      <c r="H121" s="111">
        <v>0</v>
      </c>
      <c r="I121" s="264">
        <f>+Q121+H121</f>
        <v>16239.590000000002</v>
      </c>
      <c r="J121" s="170">
        <f t="shared" si="15"/>
        <v>34820.590000000004</v>
      </c>
      <c r="K121" s="111">
        <v>18581</v>
      </c>
      <c r="L121" s="94">
        <v>16239.3</v>
      </c>
      <c r="M121" s="154">
        <f t="shared" si="16"/>
        <v>10699.409999999998</v>
      </c>
      <c r="N121" s="94">
        <f t="shared" si="21"/>
        <v>10699.409999999998</v>
      </c>
      <c r="O121" s="95">
        <f t="shared" si="22"/>
        <v>60.282824158283539</v>
      </c>
      <c r="Q121">
        <v>16239.590000000002</v>
      </c>
    </row>
    <row r="122" spans="2:17" ht="13.5" x14ac:dyDescent="0.25">
      <c r="B122" s="96" t="s">
        <v>189</v>
      </c>
      <c r="C122" s="97" t="s">
        <v>190</v>
      </c>
      <c r="D122" s="98">
        <v>28693</v>
      </c>
      <c r="E122" s="98">
        <v>-11200</v>
      </c>
      <c r="F122" s="98">
        <f t="shared" si="20"/>
        <v>17493</v>
      </c>
      <c r="G122" s="104">
        <v>17493</v>
      </c>
      <c r="H122" s="111">
        <v>-202.53</v>
      </c>
      <c r="I122" s="264">
        <f>+Q122+H122</f>
        <v>7802.9930000000004</v>
      </c>
      <c r="J122" s="170">
        <f t="shared" si="15"/>
        <v>8514.9930000000004</v>
      </c>
      <c r="K122" s="111">
        <v>712</v>
      </c>
      <c r="L122" s="94">
        <v>5343.84</v>
      </c>
      <c r="M122" s="154">
        <f t="shared" si="16"/>
        <v>9690.0069999999996</v>
      </c>
      <c r="N122" s="94">
        <f t="shared" si="21"/>
        <v>9690.0069999999996</v>
      </c>
      <c r="O122" s="95">
        <f t="shared" si="22"/>
        <v>44.606373978162694</v>
      </c>
      <c r="Q122">
        <v>8005.5230000000001</v>
      </c>
    </row>
    <row r="123" spans="2:17" ht="13.5" x14ac:dyDescent="0.25">
      <c r="B123" s="96">
        <v>229</v>
      </c>
      <c r="C123" s="97" t="s">
        <v>191</v>
      </c>
      <c r="D123" s="98">
        <v>8622</v>
      </c>
      <c r="E123" s="98">
        <v>-7150</v>
      </c>
      <c r="F123" s="98">
        <f t="shared" si="20"/>
        <v>1472</v>
      </c>
      <c r="G123" s="104">
        <v>1472</v>
      </c>
      <c r="H123" s="111">
        <v>0</v>
      </c>
      <c r="I123" s="264">
        <f>+Q123+H123</f>
        <v>14.97</v>
      </c>
      <c r="J123" s="170">
        <f t="shared" si="15"/>
        <v>14.97</v>
      </c>
      <c r="K123" s="111">
        <v>0</v>
      </c>
      <c r="L123" s="94">
        <v>14.97</v>
      </c>
      <c r="M123" s="154">
        <f t="shared" si="16"/>
        <v>1457.03</v>
      </c>
      <c r="N123" s="94">
        <f t="shared" si="21"/>
        <v>1457.03</v>
      </c>
      <c r="O123" s="95">
        <f t="shared" si="22"/>
        <v>1.0169836956521738</v>
      </c>
      <c r="Q123">
        <v>14.97</v>
      </c>
    </row>
    <row r="124" spans="2:17" ht="12.75" hidden="1" customHeight="1" x14ac:dyDescent="0.2">
      <c r="B124" s="292" t="s">
        <v>404</v>
      </c>
      <c r="C124" s="292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</row>
    <row r="125" spans="2:17" ht="12.75" hidden="1" customHeight="1" x14ac:dyDescent="0.2">
      <c r="B125" s="290" t="s">
        <v>405</v>
      </c>
      <c r="C125" s="290"/>
      <c r="D125" s="290"/>
      <c r="E125" s="290"/>
      <c r="F125" s="290"/>
      <c r="G125" s="290"/>
      <c r="H125" s="290"/>
      <c r="I125" s="290"/>
      <c r="J125" s="290"/>
      <c r="K125" s="290"/>
      <c r="L125" s="290"/>
      <c r="M125" s="290"/>
      <c r="N125" s="290"/>
      <c r="O125" s="290"/>
    </row>
    <row r="126" spans="2:17" ht="12.75" hidden="1" customHeight="1" x14ac:dyDescent="0.2">
      <c r="B126" s="293" t="s">
        <v>43</v>
      </c>
      <c r="C126" s="294"/>
      <c r="D126" s="295" t="s">
        <v>17</v>
      </c>
      <c r="E126" s="295"/>
      <c r="F126" s="295"/>
      <c r="G126" s="295"/>
      <c r="H126" s="296" t="s">
        <v>44</v>
      </c>
      <c r="I126" s="296"/>
      <c r="J126" s="309" t="s">
        <v>400</v>
      </c>
      <c r="K126" s="309"/>
      <c r="L126" s="296" t="s">
        <v>45</v>
      </c>
      <c r="M126" s="297" t="s">
        <v>14</v>
      </c>
      <c r="N126" s="298"/>
      <c r="O126" s="301" t="s">
        <v>46</v>
      </c>
    </row>
    <row r="127" spans="2:17" ht="12.75" hidden="1" customHeight="1" x14ac:dyDescent="0.2">
      <c r="B127" s="293"/>
      <c r="C127" s="294"/>
      <c r="D127" s="295"/>
      <c r="E127" s="295"/>
      <c r="F127" s="295"/>
      <c r="G127" s="295"/>
      <c r="H127" s="296"/>
      <c r="I127" s="296"/>
      <c r="J127" s="310"/>
      <c r="K127" s="310"/>
      <c r="L127" s="296"/>
      <c r="M127" s="299"/>
      <c r="N127" s="300"/>
      <c r="O127" s="301"/>
    </row>
    <row r="128" spans="2:17" hidden="1" x14ac:dyDescent="0.2">
      <c r="B128" s="293"/>
      <c r="C128" s="294"/>
      <c r="D128" s="235" t="s">
        <v>47</v>
      </c>
      <c r="E128" s="235" t="s">
        <v>48</v>
      </c>
      <c r="F128" s="235" t="s">
        <v>49</v>
      </c>
      <c r="G128" s="235" t="s">
        <v>1</v>
      </c>
      <c r="H128" s="236" t="s">
        <v>18</v>
      </c>
      <c r="I128" s="237" t="s">
        <v>50</v>
      </c>
      <c r="J128" s="275"/>
      <c r="K128" s="276" t="s">
        <v>398</v>
      </c>
      <c r="L128" s="296"/>
      <c r="M128" s="238" t="s">
        <v>51</v>
      </c>
      <c r="N128" s="239" t="s">
        <v>16</v>
      </c>
      <c r="O128" s="301"/>
    </row>
    <row r="129" spans="2:17" x14ac:dyDescent="0.2">
      <c r="B129" s="109" t="s">
        <v>192</v>
      </c>
      <c r="C129" s="110" t="s">
        <v>193</v>
      </c>
      <c r="D129" s="90">
        <f>SUM(D130:D133)</f>
        <v>118000</v>
      </c>
      <c r="E129" s="90">
        <f>SUM(E130:E133)</f>
        <v>32935</v>
      </c>
      <c r="F129" s="90">
        <f t="shared" si="20"/>
        <v>150935</v>
      </c>
      <c r="G129" s="92">
        <f>SUM(G130:G133)</f>
        <v>150935</v>
      </c>
      <c r="H129" s="92">
        <f>SUM(H130:H133)</f>
        <v>11140.61</v>
      </c>
      <c r="I129" s="281">
        <f>SUM(I130:I133)</f>
        <v>118775.25</v>
      </c>
      <c r="J129" s="164">
        <f t="shared" ref="J129:J197" si="23">+I129+K129</f>
        <v>129102.47</v>
      </c>
      <c r="K129" s="92">
        <f>SUM(K130:K133)</f>
        <v>10327.220000000001</v>
      </c>
      <c r="L129" s="90">
        <f>SUM(L130:L133)</f>
        <v>81971.41</v>
      </c>
      <c r="M129" s="153">
        <f t="shared" ref="M129:M197" si="24">+G129-I129</f>
        <v>32159.75</v>
      </c>
      <c r="N129" s="102">
        <f t="shared" ref="N129:N134" si="25">+F129-I129</f>
        <v>32159.75</v>
      </c>
      <c r="O129" s="103">
        <f>+I129*100/G129</f>
        <v>78.692980422035973</v>
      </c>
      <c r="Q129">
        <v>107634.23000000001</v>
      </c>
    </row>
    <row r="130" spans="2:17" ht="13.5" x14ac:dyDescent="0.25">
      <c r="B130" s="108" t="s">
        <v>194</v>
      </c>
      <c r="C130" s="99" t="s">
        <v>195</v>
      </c>
      <c r="D130" s="98">
        <v>55979</v>
      </c>
      <c r="E130" s="98">
        <v>-21950</v>
      </c>
      <c r="F130" s="98">
        <f t="shared" si="20"/>
        <v>34029</v>
      </c>
      <c r="G130" s="104">
        <v>34029</v>
      </c>
      <c r="H130" s="111">
        <v>181.9</v>
      </c>
      <c r="I130" s="264">
        <f>+Q130+H130</f>
        <v>18636.350000000002</v>
      </c>
      <c r="J130" s="170">
        <f t="shared" si="23"/>
        <v>24068.15</v>
      </c>
      <c r="K130" s="111">
        <v>5431.8</v>
      </c>
      <c r="L130" s="94">
        <v>16560.63</v>
      </c>
      <c r="M130" s="154">
        <f t="shared" si="24"/>
        <v>15392.649999999998</v>
      </c>
      <c r="N130" s="94">
        <f t="shared" si="25"/>
        <v>15392.649999999998</v>
      </c>
      <c r="O130" s="95">
        <f>+I130*100/G130</f>
        <v>54.766081871345037</v>
      </c>
      <c r="Q130">
        <v>18454.45</v>
      </c>
    </row>
    <row r="131" spans="2:17" ht="15" customHeight="1" x14ac:dyDescent="0.25">
      <c r="B131" s="96" t="s">
        <v>196</v>
      </c>
      <c r="C131" s="97" t="s">
        <v>197</v>
      </c>
      <c r="D131" s="98">
        <v>28168</v>
      </c>
      <c r="E131" s="98">
        <v>58023</v>
      </c>
      <c r="F131" s="98">
        <f t="shared" si="20"/>
        <v>86191</v>
      </c>
      <c r="G131" s="104">
        <v>86191</v>
      </c>
      <c r="H131" s="111">
        <v>4939.45</v>
      </c>
      <c r="I131" s="264">
        <f>+Q131+H131</f>
        <v>78515.509999999995</v>
      </c>
      <c r="J131" s="170">
        <f t="shared" si="23"/>
        <v>79909.929999999993</v>
      </c>
      <c r="K131" s="111">
        <v>1394.42</v>
      </c>
      <c r="L131" s="94">
        <v>50237.73</v>
      </c>
      <c r="M131" s="154">
        <f t="shared" si="24"/>
        <v>7675.4900000000052</v>
      </c>
      <c r="N131" s="94">
        <f t="shared" si="25"/>
        <v>7675.4900000000052</v>
      </c>
      <c r="O131" s="95">
        <f>+I131*100/G131</f>
        <v>91.094789479179951</v>
      </c>
      <c r="Q131">
        <v>73576.06</v>
      </c>
    </row>
    <row r="132" spans="2:17" ht="13.5" hidden="1" x14ac:dyDescent="0.25">
      <c r="B132" s="96">
        <v>233</v>
      </c>
      <c r="C132" s="97" t="s">
        <v>320</v>
      </c>
      <c r="D132" s="98"/>
      <c r="E132" s="98"/>
      <c r="F132" s="98">
        <f t="shared" si="20"/>
        <v>0</v>
      </c>
      <c r="G132" s="104">
        <v>0</v>
      </c>
      <c r="H132" s="111"/>
      <c r="I132" s="264">
        <f>+Q132+H132</f>
        <v>0</v>
      </c>
      <c r="J132" s="170">
        <f t="shared" si="23"/>
        <v>0</v>
      </c>
      <c r="K132" s="111"/>
      <c r="L132" s="94"/>
      <c r="M132" s="154">
        <f t="shared" si="24"/>
        <v>0</v>
      </c>
      <c r="N132" s="94">
        <f t="shared" si="25"/>
        <v>0</v>
      </c>
      <c r="O132" s="95" t="s">
        <v>2</v>
      </c>
      <c r="Q132">
        <v>0</v>
      </c>
    </row>
    <row r="133" spans="2:17" ht="13.5" x14ac:dyDescent="0.25">
      <c r="B133" s="96" t="s">
        <v>198</v>
      </c>
      <c r="C133" s="97" t="s">
        <v>199</v>
      </c>
      <c r="D133" s="98">
        <v>33853</v>
      </c>
      <c r="E133" s="98">
        <v>-3138</v>
      </c>
      <c r="F133" s="98">
        <f t="shared" si="20"/>
        <v>30715</v>
      </c>
      <c r="G133" s="104">
        <v>30715</v>
      </c>
      <c r="H133" s="111">
        <v>6019.26</v>
      </c>
      <c r="I133" s="264">
        <f>+Q133+H133</f>
        <v>21623.39</v>
      </c>
      <c r="J133" s="170">
        <f t="shared" si="23"/>
        <v>25124.39</v>
      </c>
      <c r="K133" s="111">
        <v>3501</v>
      </c>
      <c r="L133" s="94">
        <v>15173.05</v>
      </c>
      <c r="M133" s="154">
        <f t="shared" si="24"/>
        <v>9091.61</v>
      </c>
      <c r="N133" s="94">
        <f t="shared" si="25"/>
        <v>9091.61</v>
      </c>
      <c r="O133" s="95">
        <f>+I133*100/G133</f>
        <v>70.400097672147155</v>
      </c>
      <c r="Q133">
        <v>15604.130000000001</v>
      </c>
    </row>
    <row r="134" spans="2:17" ht="13.5" hidden="1" x14ac:dyDescent="0.25">
      <c r="B134" s="96"/>
      <c r="C134" s="128"/>
      <c r="D134" s="129"/>
      <c r="E134" s="129"/>
      <c r="F134" s="98"/>
      <c r="G134" s="104"/>
      <c r="H134" s="111"/>
      <c r="I134" s="264">
        <f>+Q134+H134</f>
        <v>0</v>
      </c>
      <c r="J134" s="170">
        <f t="shared" si="23"/>
        <v>0</v>
      </c>
      <c r="K134" s="111"/>
      <c r="L134" s="94"/>
      <c r="M134" s="154">
        <f t="shared" si="24"/>
        <v>0</v>
      </c>
      <c r="N134" s="94">
        <f t="shared" si="25"/>
        <v>0</v>
      </c>
      <c r="O134" s="95" t="s">
        <v>2</v>
      </c>
      <c r="Q134">
        <v>0</v>
      </c>
    </row>
    <row r="135" spans="2:17" x14ac:dyDescent="0.2">
      <c r="B135" s="292" t="s">
        <v>417</v>
      </c>
      <c r="C135" s="292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</row>
    <row r="136" spans="2:17" x14ac:dyDescent="0.2">
      <c r="B136" s="290" t="s">
        <v>410</v>
      </c>
      <c r="C136" s="290"/>
      <c r="D136" s="290"/>
      <c r="E136" s="290"/>
      <c r="F136" s="290"/>
      <c r="G136" s="290"/>
      <c r="H136" s="290"/>
      <c r="I136" s="290"/>
      <c r="J136" s="290"/>
      <c r="K136" s="290"/>
      <c r="L136" s="290"/>
      <c r="M136" s="290"/>
      <c r="N136" s="290"/>
      <c r="O136" s="290"/>
    </row>
    <row r="137" spans="2:17" x14ac:dyDescent="0.2">
      <c r="B137" s="293" t="s">
        <v>43</v>
      </c>
      <c r="C137" s="294"/>
      <c r="D137" s="295" t="s">
        <v>17</v>
      </c>
      <c r="E137" s="295"/>
      <c r="F137" s="295"/>
      <c r="G137" s="295"/>
      <c r="H137" s="296" t="s">
        <v>44</v>
      </c>
      <c r="I137" s="296"/>
      <c r="J137" s="309" t="s">
        <v>400</v>
      </c>
      <c r="K137" s="309"/>
      <c r="L137" s="296" t="s">
        <v>45</v>
      </c>
      <c r="M137" s="297" t="s">
        <v>14</v>
      </c>
      <c r="N137" s="298"/>
      <c r="O137" s="311" t="s">
        <v>46</v>
      </c>
    </row>
    <row r="138" spans="2:17" x14ac:dyDescent="0.2">
      <c r="B138" s="293"/>
      <c r="C138" s="294"/>
      <c r="D138" s="295"/>
      <c r="E138" s="295"/>
      <c r="F138" s="295"/>
      <c r="G138" s="295"/>
      <c r="H138" s="296"/>
      <c r="I138" s="296"/>
      <c r="J138" s="310"/>
      <c r="K138" s="310"/>
      <c r="L138" s="296"/>
      <c r="M138" s="299"/>
      <c r="N138" s="300"/>
      <c r="O138" s="311"/>
    </row>
    <row r="139" spans="2:17" x14ac:dyDescent="0.2">
      <c r="B139" s="293"/>
      <c r="C139" s="294"/>
      <c r="D139" s="235" t="s">
        <v>47</v>
      </c>
      <c r="E139" s="235" t="s">
        <v>48</v>
      </c>
      <c r="F139" s="235" t="s">
        <v>49</v>
      </c>
      <c r="G139" s="235" t="s">
        <v>1</v>
      </c>
      <c r="H139" s="236" t="s">
        <v>18</v>
      </c>
      <c r="I139" s="237" t="s">
        <v>50</v>
      </c>
      <c r="J139" s="275"/>
      <c r="K139" s="276" t="s">
        <v>398</v>
      </c>
      <c r="L139" s="296"/>
      <c r="M139" s="238" t="s">
        <v>51</v>
      </c>
      <c r="N139" s="239" t="s">
        <v>16</v>
      </c>
      <c r="O139" s="311"/>
    </row>
    <row r="140" spans="2:17" x14ac:dyDescent="0.2">
      <c r="B140" s="109" t="s">
        <v>200</v>
      </c>
      <c r="C140" s="110" t="s">
        <v>201</v>
      </c>
      <c r="D140" s="90">
        <f>SUM(D141:D146)</f>
        <v>150000</v>
      </c>
      <c r="E140" s="90">
        <f>SUM(E141:E146)</f>
        <v>104586</v>
      </c>
      <c r="F140" s="90">
        <f t="shared" si="20"/>
        <v>254586</v>
      </c>
      <c r="G140" s="92">
        <f>SUM(G141:G146)</f>
        <v>254586</v>
      </c>
      <c r="H140" s="92">
        <f>SUM(H141:H146)</f>
        <v>43276.869999999995</v>
      </c>
      <c r="I140" s="281">
        <f>SUM(I141:I146)</f>
        <v>194953.77000000002</v>
      </c>
      <c r="J140" s="164">
        <f t="shared" si="23"/>
        <v>225014.77000000002</v>
      </c>
      <c r="K140" s="92">
        <f>SUM(K141:K146)</f>
        <v>30061</v>
      </c>
      <c r="L140" s="90">
        <f>SUM(L141:L146)</f>
        <v>116950.44</v>
      </c>
      <c r="M140" s="153">
        <f t="shared" si="24"/>
        <v>59632.229999999981</v>
      </c>
      <c r="N140" s="102">
        <f t="shared" ref="N140:N177" si="26">+F140-I140</f>
        <v>59632.229999999981</v>
      </c>
      <c r="O140" s="103">
        <f>+I140*100/G140</f>
        <v>76.576783483773653</v>
      </c>
      <c r="Q140">
        <v>151676.90000000002</v>
      </c>
    </row>
    <row r="141" spans="2:17" ht="13.5" x14ac:dyDescent="0.25">
      <c r="B141" s="96" t="s">
        <v>202</v>
      </c>
      <c r="C141" s="99" t="s">
        <v>203</v>
      </c>
      <c r="D141" s="98">
        <v>1640</v>
      </c>
      <c r="E141" s="98">
        <v>3000</v>
      </c>
      <c r="F141" s="98">
        <f t="shared" si="20"/>
        <v>4640</v>
      </c>
      <c r="G141" s="104">
        <v>4640</v>
      </c>
      <c r="H141" s="111">
        <v>0</v>
      </c>
      <c r="I141" s="264">
        <f t="shared" ref="I141:I146" si="27">+Q141+H141</f>
        <v>1046.5</v>
      </c>
      <c r="J141" s="170">
        <f t="shared" si="23"/>
        <v>1812.5</v>
      </c>
      <c r="K141" s="111">
        <v>766</v>
      </c>
      <c r="L141" s="94">
        <v>103.48</v>
      </c>
      <c r="M141" s="154">
        <f t="shared" si="24"/>
        <v>3593.5</v>
      </c>
      <c r="N141" s="94">
        <f t="shared" si="26"/>
        <v>3593.5</v>
      </c>
      <c r="O141" s="95">
        <f>+I141*100/G141</f>
        <v>22.553879310344829</v>
      </c>
      <c r="Q141">
        <v>1046.5</v>
      </c>
    </row>
    <row r="142" spans="2:17" ht="13.5" x14ac:dyDescent="0.25">
      <c r="B142" s="96" t="s">
        <v>204</v>
      </c>
      <c r="C142" s="97" t="s">
        <v>205</v>
      </c>
      <c r="D142" s="98">
        <v>6630</v>
      </c>
      <c r="E142" s="98">
        <v>42200</v>
      </c>
      <c r="F142" s="98">
        <f t="shared" si="20"/>
        <v>48830</v>
      </c>
      <c r="G142" s="104">
        <v>48830</v>
      </c>
      <c r="H142" s="111">
        <v>3142.94</v>
      </c>
      <c r="I142" s="264">
        <f t="shared" si="27"/>
        <v>34853.280000000006</v>
      </c>
      <c r="J142" s="170">
        <f t="shared" si="23"/>
        <v>35464.280000000006</v>
      </c>
      <c r="K142" s="111">
        <v>611</v>
      </c>
      <c r="L142" s="94">
        <v>25312.240000000002</v>
      </c>
      <c r="M142" s="154">
        <f t="shared" si="24"/>
        <v>13976.719999999994</v>
      </c>
      <c r="N142" s="94">
        <f t="shared" si="26"/>
        <v>13976.719999999994</v>
      </c>
      <c r="O142" s="95">
        <f>+I142*100/G142</f>
        <v>71.376776571779658</v>
      </c>
      <c r="Q142">
        <v>31710.340000000004</v>
      </c>
    </row>
    <row r="143" spans="2:17" ht="13.5" x14ac:dyDescent="0.25">
      <c r="B143" s="96" t="s">
        <v>206</v>
      </c>
      <c r="C143" s="97" t="s">
        <v>207</v>
      </c>
      <c r="D143" s="98">
        <v>44329</v>
      </c>
      <c r="E143" s="98">
        <v>79500</v>
      </c>
      <c r="F143" s="98">
        <f t="shared" si="20"/>
        <v>123829</v>
      </c>
      <c r="G143" s="104">
        <v>123829</v>
      </c>
      <c r="H143" s="111">
        <v>35204.589999999997</v>
      </c>
      <c r="I143" s="264">
        <f t="shared" si="27"/>
        <v>106234.12999999999</v>
      </c>
      <c r="J143" s="170">
        <f t="shared" si="23"/>
        <v>127476.12999999999</v>
      </c>
      <c r="K143" s="111">
        <v>21242</v>
      </c>
      <c r="L143" s="94">
        <v>52937.86</v>
      </c>
      <c r="M143" s="154">
        <f t="shared" si="24"/>
        <v>17594.87000000001</v>
      </c>
      <c r="N143" s="94">
        <f t="shared" si="26"/>
        <v>17594.87000000001</v>
      </c>
      <c r="O143" s="95">
        <f>+I143*100/G143</f>
        <v>85.790994032092627</v>
      </c>
      <c r="Q143">
        <v>71029.539999999994</v>
      </c>
    </row>
    <row r="144" spans="2:17" ht="13.5" x14ac:dyDescent="0.25">
      <c r="B144" s="96" t="s">
        <v>208</v>
      </c>
      <c r="C144" s="97" t="s">
        <v>209</v>
      </c>
      <c r="D144" s="98">
        <v>28706</v>
      </c>
      <c r="E144" s="98">
        <v>-17850</v>
      </c>
      <c r="F144" s="98">
        <f t="shared" si="20"/>
        <v>10856</v>
      </c>
      <c r="G144" s="104">
        <v>10856</v>
      </c>
      <c r="H144" s="111">
        <v>0</v>
      </c>
      <c r="I144" s="264">
        <f t="shared" si="27"/>
        <v>4757.8600000000006</v>
      </c>
      <c r="J144" s="170">
        <f t="shared" si="23"/>
        <v>5199.8600000000006</v>
      </c>
      <c r="K144" s="111">
        <v>442</v>
      </c>
      <c r="L144" s="94">
        <v>4758</v>
      </c>
      <c r="M144" s="154">
        <f t="shared" si="24"/>
        <v>6098.1399999999994</v>
      </c>
      <c r="N144" s="94">
        <f t="shared" si="26"/>
        <v>6098.1399999999994</v>
      </c>
      <c r="O144" s="95">
        <f>+I144*100/G144</f>
        <v>43.827008106116438</v>
      </c>
      <c r="Q144">
        <v>4757.8600000000006</v>
      </c>
    </row>
    <row r="145" spans="2:17" ht="13.5" hidden="1" x14ac:dyDescent="0.25">
      <c r="B145" s="96">
        <v>246</v>
      </c>
      <c r="C145" s="97" t="s">
        <v>210</v>
      </c>
      <c r="D145" s="98"/>
      <c r="E145" s="98"/>
      <c r="F145" s="98">
        <f t="shared" si="20"/>
        <v>0</v>
      </c>
      <c r="G145" s="104">
        <v>0</v>
      </c>
      <c r="H145" s="111"/>
      <c r="I145" s="264">
        <f t="shared" si="27"/>
        <v>0</v>
      </c>
      <c r="J145" s="170">
        <f t="shared" si="23"/>
        <v>0</v>
      </c>
      <c r="K145" s="111"/>
      <c r="L145" s="94"/>
      <c r="M145" s="154">
        <f t="shared" si="24"/>
        <v>0</v>
      </c>
      <c r="N145" s="94">
        <f t="shared" si="26"/>
        <v>0</v>
      </c>
      <c r="O145" s="95" t="s">
        <v>2</v>
      </c>
      <c r="Q145">
        <v>0</v>
      </c>
    </row>
    <row r="146" spans="2:17" ht="13.5" x14ac:dyDescent="0.25">
      <c r="B146" s="96" t="s">
        <v>211</v>
      </c>
      <c r="C146" s="97" t="s">
        <v>212</v>
      </c>
      <c r="D146" s="98">
        <v>68695</v>
      </c>
      <c r="E146" s="98">
        <v>-2264</v>
      </c>
      <c r="F146" s="98">
        <f t="shared" si="20"/>
        <v>66431</v>
      </c>
      <c r="G146" s="100">
        <v>66431</v>
      </c>
      <c r="H146" s="112">
        <v>4929.34</v>
      </c>
      <c r="I146" s="264">
        <f t="shared" si="27"/>
        <v>48062</v>
      </c>
      <c r="J146" s="170">
        <f t="shared" si="23"/>
        <v>55062</v>
      </c>
      <c r="K146" s="112">
        <v>7000</v>
      </c>
      <c r="L146" s="94">
        <v>33838.86</v>
      </c>
      <c r="M146" s="154">
        <f t="shared" si="24"/>
        <v>18369</v>
      </c>
      <c r="N146" s="94">
        <f t="shared" si="26"/>
        <v>18369</v>
      </c>
      <c r="O146" s="95">
        <f t="shared" ref="O146:O168" si="28">+I146*100/G146</f>
        <v>72.348752841293972</v>
      </c>
      <c r="Q146">
        <v>43132.66</v>
      </c>
    </row>
    <row r="147" spans="2:17" x14ac:dyDescent="0.2">
      <c r="B147" s="109" t="s">
        <v>213</v>
      </c>
      <c r="C147" s="110" t="s">
        <v>214</v>
      </c>
      <c r="D147" s="90">
        <f>SUM(D149:D155)</f>
        <v>474000</v>
      </c>
      <c r="E147" s="90">
        <f>SUM(E149:E155)</f>
        <v>259239</v>
      </c>
      <c r="F147" s="90">
        <f t="shared" si="20"/>
        <v>733239</v>
      </c>
      <c r="G147" s="92">
        <f>SUM(G149:G155)</f>
        <v>733239</v>
      </c>
      <c r="H147" s="92">
        <f>SUM(H149:H155)</f>
        <v>66268.05</v>
      </c>
      <c r="I147" s="278">
        <f>SUM(I149:I155)</f>
        <v>637899.46000000008</v>
      </c>
      <c r="J147" s="164">
        <f t="shared" si="23"/>
        <v>782373.14000000013</v>
      </c>
      <c r="K147" s="92">
        <f>SUM(K149:K155)</f>
        <v>144473.68</v>
      </c>
      <c r="L147" s="90">
        <f>SUM(L149:L155)</f>
        <v>477769.61000000004</v>
      </c>
      <c r="M147" s="153">
        <f t="shared" si="24"/>
        <v>95339.539999999921</v>
      </c>
      <c r="N147" s="102">
        <f t="shared" si="26"/>
        <v>95339.539999999921</v>
      </c>
      <c r="O147" s="103">
        <f t="shared" si="28"/>
        <v>86.99748103960647</v>
      </c>
      <c r="Q147">
        <v>571631.41</v>
      </c>
    </row>
    <row r="148" spans="2:17" ht="13.5" hidden="1" x14ac:dyDescent="0.25">
      <c r="B148" s="108"/>
      <c r="C148" s="99"/>
      <c r="D148" s="98"/>
      <c r="E148" s="98"/>
      <c r="F148" s="98">
        <f t="shared" si="20"/>
        <v>0</v>
      </c>
      <c r="G148" s="91">
        <v>0</v>
      </c>
      <c r="H148" s="111"/>
      <c r="I148" s="264">
        <f t="shared" ref="I148:I155" si="29">+Q148+H148</f>
        <v>0</v>
      </c>
      <c r="J148" s="170">
        <f t="shared" si="23"/>
        <v>0</v>
      </c>
      <c r="K148" s="111"/>
      <c r="L148" s="94"/>
      <c r="M148" s="154">
        <f t="shared" si="24"/>
        <v>0</v>
      </c>
      <c r="N148" s="94">
        <f t="shared" si="26"/>
        <v>0</v>
      </c>
      <c r="O148" s="95" t="e">
        <f t="shared" si="28"/>
        <v>#DIV/0!</v>
      </c>
      <c r="Q148">
        <v>0</v>
      </c>
    </row>
    <row r="149" spans="2:17" ht="13.5" x14ac:dyDescent="0.25">
      <c r="B149" s="96" t="s">
        <v>215</v>
      </c>
      <c r="C149" s="97" t="s">
        <v>216</v>
      </c>
      <c r="D149" s="98">
        <v>47545</v>
      </c>
      <c r="E149" s="98">
        <v>-18900</v>
      </c>
      <c r="F149" s="98">
        <f t="shared" si="20"/>
        <v>28645</v>
      </c>
      <c r="G149" s="100">
        <v>28645</v>
      </c>
      <c r="H149" s="111">
        <v>1738.7</v>
      </c>
      <c r="I149" s="264">
        <f t="shared" si="29"/>
        <v>24859.760000000002</v>
      </c>
      <c r="J149" s="170">
        <f t="shared" si="23"/>
        <v>26039.760000000002</v>
      </c>
      <c r="K149" s="111">
        <v>1180</v>
      </c>
      <c r="L149" s="94">
        <v>13864.01</v>
      </c>
      <c r="M149" s="154">
        <f t="shared" si="24"/>
        <v>3785.239999999998</v>
      </c>
      <c r="N149" s="94">
        <f t="shared" si="26"/>
        <v>3785.239999999998</v>
      </c>
      <c r="O149" s="95">
        <f t="shared" si="28"/>
        <v>86.78568685634491</v>
      </c>
      <c r="Q149">
        <v>23121.06</v>
      </c>
    </row>
    <row r="150" spans="2:17" ht="13.5" x14ac:dyDescent="0.25">
      <c r="B150" s="96" t="s">
        <v>217</v>
      </c>
      <c r="C150" s="97" t="s">
        <v>218</v>
      </c>
      <c r="D150" s="98">
        <v>65728</v>
      </c>
      <c r="E150" s="98">
        <v>-6500</v>
      </c>
      <c r="F150" s="98">
        <f t="shared" si="20"/>
        <v>59228</v>
      </c>
      <c r="G150" s="100">
        <v>59228</v>
      </c>
      <c r="H150" s="111">
        <v>1301.99</v>
      </c>
      <c r="I150" s="264">
        <f t="shared" si="29"/>
        <v>42476.56</v>
      </c>
      <c r="J150" s="170">
        <f t="shared" si="23"/>
        <v>43829.56</v>
      </c>
      <c r="K150" s="111">
        <v>1353</v>
      </c>
      <c r="L150" s="94">
        <v>30506.2</v>
      </c>
      <c r="M150" s="154">
        <f t="shared" si="24"/>
        <v>16751.440000000002</v>
      </c>
      <c r="N150" s="94">
        <f t="shared" si="26"/>
        <v>16751.440000000002</v>
      </c>
      <c r="O150" s="95">
        <f t="shared" si="28"/>
        <v>71.717025731073136</v>
      </c>
      <c r="Q150">
        <v>41174.57</v>
      </c>
    </row>
    <row r="151" spans="2:17" ht="13.5" x14ac:dyDescent="0.25">
      <c r="B151" s="96">
        <v>254</v>
      </c>
      <c r="C151" s="97" t="s">
        <v>219</v>
      </c>
      <c r="D151" s="98">
        <v>39808</v>
      </c>
      <c r="E151" s="98">
        <v>6029</v>
      </c>
      <c r="F151" s="98">
        <f t="shared" si="20"/>
        <v>45837</v>
      </c>
      <c r="G151" s="98">
        <v>45837</v>
      </c>
      <c r="H151" s="100">
        <v>4590.7</v>
      </c>
      <c r="I151" s="264">
        <f t="shared" si="29"/>
        <v>36672.35</v>
      </c>
      <c r="J151" s="170">
        <f t="shared" si="23"/>
        <v>43641.35</v>
      </c>
      <c r="K151" s="100">
        <v>6969</v>
      </c>
      <c r="L151" s="94">
        <v>32663.45</v>
      </c>
      <c r="M151" s="154">
        <f t="shared" si="24"/>
        <v>9164.6500000000015</v>
      </c>
      <c r="N151" s="94">
        <f t="shared" si="26"/>
        <v>9164.6500000000015</v>
      </c>
      <c r="O151" s="95">
        <f t="shared" si="28"/>
        <v>80.005999520038401</v>
      </c>
      <c r="Q151">
        <v>32081.649999999998</v>
      </c>
    </row>
    <row r="152" spans="2:17" ht="13.5" x14ac:dyDescent="0.25">
      <c r="B152" s="96" t="s">
        <v>220</v>
      </c>
      <c r="C152" s="97" t="s">
        <v>221</v>
      </c>
      <c r="D152" s="98">
        <v>140830</v>
      </c>
      <c r="E152" s="130">
        <v>117134</v>
      </c>
      <c r="F152" s="98">
        <f t="shared" si="20"/>
        <v>257964</v>
      </c>
      <c r="G152" s="98">
        <v>257964</v>
      </c>
      <c r="H152" s="104">
        <v>25624.69</v>
      </c>
      <c r="I152" s="264">
        <f t="shared" si="29"/>
        <v>222775.00000000003</v>
      </c>
      <c r="J152" s="170">
        <f t="shared" si="23"/>
        <v>297314.92000000004</v>
      </c>
      <c r="K152" s="104">
        <v>74539.92</v>
      </c>
      <c r="L152" s="94">
        <v>170424.15</v>
      </c>
      <c r="M152" s="154">
        <f t="shared" si="24"/>
        <v>35188.999999999971</v>
      </c>
      <c r="N152" s="94">
        <f t="shared" si="26"/>
        <v>35188.999999999971</v>
      </c>
      <c r="O152" s="95">
        <f t="shared" si="28"/>
        <v>86.358949310756557</v>
      </c>
      <c r="Q152">
        <v>197150.31000000003</v>
      </c>
    </row>
    <row r="153" spans="2:17" ht="13.5" x14ac:dyDescent="0.25">
      <c r="B153" s="96" t="s">
        <v>222</v>
      </c>
      <c r="C153" s="97" t="s">
        <v>223</v>
      </c>
      <c r="D153" s="98">
        <v>62592</v>
      </c>
      <c r="E153" s="98">
        <v>72750</v>
      </c>
      <c r="F153" s="98">
        <f t="shared" si="20"/>
        <v>135342</v>
      </c>
      <c r="G153" s="98">
        <v>135342</v>
      </c>
      <c r="H153" s="104">
        <v>15136.78</v>
      </c>
      <c r="I153" s="264">
        <f t="shared" si="29"/>
        <v>125689.38999999998</v>
      </c>
      <c r="J153" s="170">
        <f t="shared" si="23"/>
        <v>156656.38999999998</v>
      </c>
      <c r="K153" s="104">
        <v>30967</v>
      </c>
      <c r="L153" s="94">
        <v>101369.60000000001</v>
      </c>
      <c r="M153" s="154">
        <f t="shared" si="24"/>
        <v>9652.6100000000151</v>
      </c>
      <c r="N153" s="94">
        <f t="shared" si="26"/>
        <v>9652.6100000000151</v>
      </c>
      <c r="O153" s="95">
        <f t="shared" si="28"/>
        <v>92.867986286592469</v>
      </c>
      <c r="Q153">
        <v>110552.60999999999</v>
      </c>
    </row>
    <row r="154" spans="2:17" ht="13.5" x14ac:dyDescent="0.25">
      <c r="B154" s="96">
        <v>257</v>
      </c>
      <c r="C154" s="97" t="s">
        <v>224</v>
      </c>
      <c r="D154" s="94">
        <v>27605</v>
      </c>
      <c r="E154" s="94">
        <v>1526</v>
      </c>
      <c r="F154" s="98">
        <f t="shared" si="20"/>
        <v>29131</v>
      </c>
      <c r="G154" s="98">
        <v>29131</v>
      </c>
      <c r="H154" s="104">
        <v>4378.97</v>
      </c>
      <c r="I154" s="264">
        <f t="shared" si="29"/>
        <v>24539.15</v>
      </c>
      <c r="J154" s="170">
        <f t="shared" si="23"/>
        <v>30688.15</v>
      </c>
      <c r="K154" s="104">
        <v>6149</v>
      </c>
      <c r="L154" s="94">
        <v>12701.2</v>
      </c>
      <c r="M154" s="154">
        <f t="shared" si="24"/>
        <v>4591.8499999999985</v>
      </c>
      <c r="N154" s="94">
        <f t="shared" si="26"/>
        <v>4591.8499999999985</v>
      </c>
      <c r="O154" s="95">
        <f t="shared" si="28"/>
        <v>84.237238680443511</v>
      </c>
      <c r="Q154">
        <v>20160.18</v>
      </c>
    </row>
    <row r="155" spans="2:17" ht="13.5" x14ac:dyDescent="0.25">
      <c r="B155" s="96" t="s">
        <v>225</v>
      </c>
      <c r="C155" s="97" t="s">
        <v>226</v>
      </c>
      <c r="D155" s="98">
        <v>89892</v>
      </c>
      <c r="E155" s="98">
        <v>87200</v>
      </c>
      <c r="F155" s="98">
        <f t="shared" si="20"/>
        <v>177092</v>
      </c>
      <c r="G155" s="230">
        <v>177092</v>
      </c>
      <c r="H155" s="230">
        <v>13496.22</v>
      </c>
      <c r="I155" s="264">
        <f t="shared" si="29"/>
        <v>160887.25</v>
      </c>
      <c r="J155" s="170">
        <f t="shared" si="23"/>
        <v>184203.01</v>
      </c>
      <c r="K155" s="230">
        <v>23315.759999999998</v>
      </c>
      <c r="L155" s="94">
        <v>116241</v>
      </c>
      <c r="M155" s="154">
        <f t="shared" si="24"/>
        <v>16204.75</v>
      </c>
      <c r="N155" s="94">
        <f t="shared" si="26"/>
        <v>16204.75</v>
      </c>
      <c r="O155" s="95">
        <f t="shared" si="28"/>
        <v>90.849530187699045</v>
      </c>
      <c r="Q155">
        <v>147391.03</v>
      </c>
    </row>
    <row r="156" spans="2:17" x14ac:dyDescent="0.2">
      <c r="B156" s="109" t="s">
        <v>227</v>
      </c>
      <c r="C156" s="110" t="s">
        <v>228</v>
      </c>
      <c r="D156" s="90">
        <f>SUM(D157:D161)</f>
        <v>171000</v>
      </c>
      <c r="E156" s="90">
        <f>SUM(E157:E161)</f>
        <v>36644</v>
      </c>
      <c r="F156" s="91">
        <f t="shared" si="20"/>
        <v>207644</v>
      </c>
      <c r="G156" s="161">
        <f>SUM(G157:G161)</f>
        <v>207644</v>
      </c>
      <c r="H156" s="231">
        <f>SUM(H157:H161)</f>
        <v>17772.75</v>
      </c>
      <c r="I156" s="281">
        <f>SUM(I157:I161)</f>
        <v>148648.04999999999</v>
      </c>
      <c r="J156" s="164">
        <f t="shared" si="23"/>
        <v>181308.86</v>
      </c>
      <c r="K156" s="231">
        <f>SUM(K157:K161)</f>
        <v>32660.809999999998</v>
      </c>
      <c r="L156" s="90">
        <f>SUM(L157:L161)</f>
        <v>110352.43</v>
      </c>
      <c r="M156" s="153">
        <f t="shared" si="24"/>
        <v>58995.950000000012</v>
      </c>
      <c r="N156" s="102">
        <f t="shared" si="26"/>
        <v>58995.950000000012</v>
      </c>
      <c r="O156" s="103">
        <f t="shared" si="28"/>
        <v>71.587934156537145</v>
      </c>
      <c r="Q156">
        <v>130212.26000000001</v>
      </c>
    </row>
    <row r="157" spans="2:17" ht="13.5" x14ac:dyDescent="0.25">
      <c r="B157" s="113">
        <v>261</v>
      </c>
      <c r="C157" s="99" t="s">
        <v>229</v>
      </c>
      <c r="D157" s="98">
        <v>5596</v>
      </c>
      <c r="E157" s="94">
        <v>7500</v>
      </c>
      <c r="F157" s="100">
        <f t="shared" si="20"/>
        <v>13096</v>
      </c>
      <c r="G157" s="157">
        <v>13096</v>
      </c>
      <c r="H157" s="158">
        <v>0</v>
      </c>
      <c r="I157" s="264">
        <f>+Q157+H157</f>
        <v>9661.35</v>
      </c>
      <c r="J157" s="170">
        <f t="shared" si="23"/>
        <v>10911.16</v>
      </c>
      <c r="K157" s="158">
        <v>1249.81</v>
      </c>
      <c r="L157" s="94">
        <v>9661.35</v>
      </c>
      <c r="M157" s="154">
        <f t="shared" si="24"/>
        <v>3434.6499999999996</v>
      </c>
      <c r="N157" s="94">
        <f t="shared" si="26"/>
        <v>3434.6499999999996</v>
      </c>
      <c r="O157" s="95">
        <f t="shared" si="28"/>
        <v>73.773289554062316</v>
      </c>
      <c r="Q157">
        <v>9661.35</v>
      </c>
    </row>
    <row r="158" spans="2:17" ht="13.5" x14ac:dyDescent="0.25">
      <c r="B158" s="96" t="s">
        <v>230</v>
      </c>
      <c r="C158" s="97" t="s">
        <v>231</v>
      </c>
      <c r="D158" s="98">
        <v>55947</v>
      </c>
      <c r="E158" s="94">
        <v>7500</v>
      </c>
      <c r="F158" s="100">
        <f t="shared" si="20"/>
        <v>63447</v>
      </c>
      <c r="G158" s="159">
        <v>63447</v>
      </c>
      <c r="H158" s="160">
        <v>6562.51</v>
      </c>
      <c r="I158" s="264">
        <f>+Q158+H158</f>
        <v>48023.82</v>
      </c>
      <c r="J158" s="170">
        <f t="shared" si="23"/>
        <v>60016.82</v>
      </c>
      <c r="K158" s="160">
        <v>11993</v>
      </c>
      <c r="L158" s="94">
        <v>32079.4</v>
      </c>
      <c r="M158" s="154">
        <f t="shared" si="24"/>
        <v>15423.18</v>
      </c>
      <c r="N158" s="94">
        <f t="shared" si="26"/>
        <v>15423.18</v>
      </c>
      <c r="O158" s="95">
        <f t="shared" si="28"/>
        <v>75.691238356423469</v>
      </c>
      <c r="Q158">
        <f>41511.71-50.4</f>
        <v>41461.31</v>
      </c>
    </row>
    <row r="159" spans="2:17" ht="13.5" x14ac:dyDescent="0.25">
      <c r="B159" s="96">
        <v>263</v>
      </c>
      <c r="C159" s="97" t="s">
        <v>336</v>
      </c>
      <c r="D159" s="98">
        <v>30111</v>
      </c>
      <c r="E159" s="94">
        <v>3744</v>
      </c>
      <c r="F159" s="100">
        <f t="shared" si="20"/>
        <v>33855</v>
      </c>
      <c r="G159" s="157">
        <v>33855</v>
      </c>
      <c r="H159" s="158">
        <v>3773.69</v>
      </c>
      <c r="I159" s="264">
        <f>+Q159+H159</f>
        <v>23285.59</v>
      </c>
      <c r="J159" s="170">
        <f t="shared" si="23"/>
        <v>29514.59</v>
      </c>
      <c r="K159" s="158">
        <v>6229</v>
      </c>
      <c r="L159" s="94">
        <v>13539.63</v>
      </c>
      <c r="M159" s="154">
        <f t="shared" si="24"/>
        <v>10569.41</v>
      </c>
      <c r="N159" s="94">
        <f t="shared" si="26"/>
        <v>10569.41</v>
      </c>
      <c r="O159" s="95">
        <f t="shared" si="28"/>
        <v>68.780357406586916</v>
      </c>
      <c r="Q159">
        <f>19391.9+120</f>
        <v>19511.900000000001</v>
      </c>
    </row>
    <row r="160" spans="2:17" ht="13.5" x14ac:dyDescent="0.25">
      <c r="B160" s="96" t="s">
        <v>232</v>
      </c>
      <c r="C160" s="132" t="s">
        <v>392</v>
      </c>
      <c r="D160" s="133">
        <v>23576</v>
      </c>
      <c r="E160" s="94">
        <v>12500</v>
      </c>
      <c r="F160" s="100">
        <f t="shared" si="20"/>
        <v>36076</v>
      </c>
      <c r="G160" s="157">
        <v>36076</v>
      </c>
      <c r="H160" s="158">
        <v>1658.48</v>
      </c>
      <c r="I160" s="264">
        <f>+Q160+H160</f>
        <v>18147.68</v>
      </c>
      <c r="J160" s="170">
        <f t="shared" si="23"/>
        <v>23145.68</v>
      </c>
      <c r="K160" s="158">
        <v>4998</v>
      </c>
      <c r="L160" s="94">
        <v>13924.04</v>
      </c>
      <c r="M160" s="154">
        <f t="shared" si="24"/>
        <v>17928.32</v>
      </c>
      <c r="N160" s="94">
        <f t="shared" si="26"/>
        <v>17928.32</v>
      </c>
      <c r="O160" s="95">
        <f t="shared" si="28"/>
        <v>50.304024836456371</v>
      </c>
      <c r="Q160">
        <v>16489.2</v>
      </c>
    </row>
    <row r="161" spans="1:17" ht="13.5" x14ac:dyDescent="0.25">
      <c r="B161" s="96" t="s">
        <v>233</v>
      </c>
      <c r="C161" s="132" t="s">
        <v>234</v>
      </c>
      <c r="D161" s="133">
        <v>55770</v>
      </c>
      <c r="E161" s="94">
        <v>5400</v>
      </c>
      <c r="F161" s="100">
        <f t="shared" si="20"/>
        <v>61170</v>
      </c>
      <c r="G161" s="157">
        <v>61170</v>
      </c>
      <c r="H161" s="158">
        <v>5778.07</v>
      </c>
      <c r="I161" s="264">
        <f>+Q161+H161</f>
        <v>49529.61</v>
      </c>
      <c r="J161" s="170">
        <f t="shared" si="23"/>
        <v>57720.61</v>
      </c>
      <c r="K161" s="158">
        <v>8191</v>
      </c>
      <c r="L161" s="94">
        <v>41148.01</v>
      </c>
      <c r="M161" s="154">
        <f t="shared" si="24"/>
        <v>11640.39</v>
      </c>
      <c r="N161" s="94">
        <f t="shared" si="26"/>
        <v>11640.39</v>
      </c>
      <c r="O161" s="95">
        <f t="shared" si="28"/>
        <v>80.970426679744975</v>
      </c>
      <c r="Q161">
        <f>43158.1+593.44</f>
        <v>43751.54</v>
      </c>
    </row>
    <row r="162" spans="1:17" x14ac:dyDescent="0.2">
      <c r="B162" s="109" t="s">
        <v>235</v>
      </c>
      <c r="C162" s="134" t="s">
        <v>236</v>
      </c>
      <c r="D162" s="135">
        <f>SUM(D163:D170)</f>
        <v>272000</v>
      </c>
      <c r="E162" s="90">
        <f>SUM(E163:E170)</f>
        <v>427580</v>
      </c>
      <c r="F162" s="91">
        <f t="shared" ref="F162:F230" si="30">+D162+E162</f>
        <v>699580</v>
      </c>
      <c r="G162" s="161">
        <f>SUM(G163:G170)</f>
        <v>699580</v>
      </c>
      <c r="H162" s="161">
        <f>SUM(H163:H170)</f>
        <v>53710.590000000004</v>
      </c>
      <c r="I162" s="281">
        <f>SUM(I163:I170)</f>
        <v>596635.47000000009</v>
      </c>
      <c r="J162" s="164">
        <f t="shared" si="23"/>
        <v>730343.27</v>
      </c>
      <c r="K162" s="161">
        <f>SUM(K163:K170)</f>
        <v>133707.79999999999</v>
      </c>
      <c r="L162" s="90">
        <f>SUM(L163:L170)</f>
        <v>430945.91</v>
      </c>
      <c r="M162" s="153">
        <f t="shared" si="24"/>
        <v>102944.52999999991</v>
      </c>
      <c r="N162" s="102">
        <f t="shared" si="26"/>
        <v>102944.52999999991</v>
      </c>
      <c r="O162" s="103">
        <f t="shared" si="28"/>
        <v>85.284809457102838</v>
      </c>
      <c r="Q162">
        <v>535758.88</v>
      </c>
    </row>
    <row r="163" spans="1:17" ht="13.5" x14ac:dyDescent="0.25">
      <c r="B163" s="96" t="s">
        <v>237</v>
      </c>
      <c r="C163" s="132" t="s">
        <v>238</v>
      </c>
      <c r="D163" s="133">
        <v>18513</v>
      </c>
      <c r="E163" s="94">
        <v>73000</v>
      </c>
      <c r="F163" s="100">
        <f t="shared" si="30"/>
        <v>91513</v>
      </c>
      <c r="G163" s="157">
        <v>91513</v>
      </c>
      <c r="H163" s="158">
        <v>256.44</v>
      </c>
      <c r="I163" s="264">
        <f t="shared" ref="I163:I172" si="31">+Q163+H163</f>
        <v>69016.820000000007</v>
      </c>
      <c r="J163" s="170">
        <f t="shared" si="23"/>
        <v>97962.82</v>
      </c>
      <c r="K163" s="158">
        <v>28946</v>
      </c>
      <c r="L163" s="94">
        <v>43056.89</v>
      </c>
      <c r="M163" s="154">
        <f t="shared" si="24"/>
        <v>22496.179999999993</v>
      </c>
      <c r="N163" s="94">
        <f t="shared" si="26"/>
        <v>22496.179999999993</v>
      </c>
      <c r="O163" s="95">
        <f t="shared" si="28"/>
        <v>75.417503524089483</v>
      </c>
      <c r="Q163">
        <v>68760.38</v>
      </c>
    </row>
    <row r="164" spans="1:17" ht="13.5" x14ac:dyDescent="0.25">
      <c r="B164" s="96" t="s">
        <v>239</v>
      </c>
      <c r="C164" s="97" t="s">
        <v>240</v>
      </c>
      <c r="D164" s="98">
        <v>30661</v>
      </c>
      <c r="E164" s="98">
        <v>-16000</v>
      </c>
      <c r="F164" s="100">
        <f t="shared" si="30"/>
        <v>14661</v>
      </c>
      <c r="G164" s="157">
        <v>14661</v>
      </c>
      <c r="H164" s="158">
        <v>2928.55</v>
      </c>
      <c r="I164" s="264">
        <f t="shared" si="31"/>
        <v>11679.41</v>
      </c>
      <c r="J164" s="170">
        <f t="shared" si="23"/>
        <v>11679.41</v>
      </c>
      <c r="K164" s="158"/>
      <c r="L164" s="94">
        <v>8297.1299999999992</v>
      </c>
      <c r="M164" s="154">
        <f t="shared" si="24"/>
        <v>2981.59</v>
      </c>
      <c r="N164" s="94">
        <f t="shared" si="26"/>
        <v>2981.59</v>
      </c>
      <c r="O164" s="95">
        <f t="shared" si="28"/>
        <v>79.663119841757037</v>
      </c>
      <c r="Q164">
        <v>8750.86</v>
      </c>
    </row>
    <row r="165" spans="1:17" ht="13.5" x14ac:dyDescent="0.25">
      <c r="B165" s="96" t="s">
        <v>241</v>
      </c>
      <c r="C165" s="97" t="s">
        <v>242</v>
      </c>
      <c r="D165" s="98">
        <v>67641</v>
      </c>
      <c r="E165" s="98">
        <v>40430</v>
      </c>
      <c r="F165" s="100">
        <f t="shared" si="30"/>
        <v>108071</v>
      </c>
      <c r="G165" s="157">
        <v>108071</v>
      </c>
      <c r="H165" s="158">
        <v>26013</v>
      </c>
      <c r="I165" s="264">
        <f t="shared" si="31"/>
        <v>93803.42</v>
      </c>
      <c r="J165" s="170">
        <f t="shared" si="23"/>
        <v>101930.42</v>
      </c>
      <c r="K165" s="158">
        <v>8127</v>
      </c>
      <c r="L165" s="94">
        <v>59620.4</v>
      </c>
      <c r="M165" s="154">
        <f t="shared" si="24"/>
        <v>14267.580000000002</v>
      </c>
      <c r="N165" s="94">
        <f t="shared" si="26"/>
        <v>14267.580000000002</v>
      </c>
      <c r="O165" s="95">
        <f t="shared" si="28"/>
        <v>86.797956898705479</v>
      </c>
      <c r="Q165">
        <v>67790.42</v>
      </c>
    </row>
    <row r="166" spans="1:17" ht="13.5" x14ac:dyDescent="0.25">
      <c r="B166" s="96" t="s">
        <v>243</v>
      </c>
      <c r="C166" s="97" t="s">
        <v>244</v>
      </c>
      <c r="D166" s="98">
        <v>30250</v>
      </c>
      <c r="E166" s="98">
        <v>26550</v>
      </c>
      <c r="F166" s="100">
        <f t="shared" si="30"/>
        <v>56800</v>
      </c>
      <c r="G166" s="157">
        <v>56800</v>
      </c>
      <c r="H166" s="158">
        <v>4612.5200000000004</v>
      </c>
      <c r="I166" s="264">
        <f t="shared" si="31"/>
        <v>42577.539999999994</v>
      </c>
      <c r="J166" s="170">
        <f t="shared" si="23"/>
        <v>67516.34</v>
      </c>
      <c r="K166" s="158">
        <v>24938.799999999999</v>
      </c>
      <c r="L166" s="94">
        <v>16206</v>
      </c>
      <c r="M166" s="154">
        <f t="shared" si="24"/>
        <v>14222.460000000006</v>
      </c>
      <c r="N166" s="94">
        <f t="shared" si="26"/>
        <v>14222.460000000006</v>
      </c>
      <c r="O166" s="95">
        <f t="shared" si="28"/>
        <v>74.960457746478852</v>
      </c>
      <c r="Q166">
        <v>37965.019999999997</v>
      </c>
    </row>
    <row r="167" spans="1:17" ht="13.5" x14ac:dyDescent="0.25">
      <c r="B167" s="96" t="s">
        <v>245</v>
      </c>
      <c r="C167" s="97" t="s">
        <v>246</v>
      </c>
      <c r="D167" s="98">
        <v>94638</v>
      </c>
      <c r="E167" s="94">
        <v>255600</v>
      </c>
      <c r="F167" s="100">
        <f t="shared" si="30"/>
        <v>350238</v>
      </c>
      <c r="G167" s="157">
        <v>350238</v>
      </c>
      <c r="H167" s="158">
        <v>16744.96</v>
      </c>
      <c r="I167" s="264">
        <f t="shared" si="31"/>
        <v>323571.34000000003</v>
      </c>
      <c r="J167" s="170">
        <f t="shared" si="23"/>
        <v>385805.34</v>
      </c>
      <c r="K167" s="158">
        <v>62234</v>
      </c>
      <c r="L167" s="94">
        <v>255069.24</v>
      </c>
      <c r="M167" s="154">
        <f t="shared" si="24"/>
        <v>26666.659999999974</v>
      </c>
      <c r="N167" s="94">
        <f t="shared" si="26"/>
        <v>26666.659999999974</v>
      </c>
      <c r="O167" s="95">
        <f t="shared" si="28"/>
        <v>92.386131716147318</v>
      </c>
      <c r="Q167">
        <f>299660.38+7166</f>
        <v>306826.38</v>
      </c>
    </row>
    <row r="168" spans="1:17" ht="13.5" x14ac:dyDescent="0.25">
      <c r="B168" s="96">
        <v>277</v>
      </c>
      <c r="C168" s="97" t="s">
        <v>247</v>
      </c>
      <c r="D168" s="98">
        <v>2000</v>
      </c>
      <c r="E168" s="94"/>
      <c r="F168" s="100">
        <f t="shared" si="30"/>
        <v>2000</v>
      </c>
      <c r="G168" s="157">
        <v>2000</v>
      </c>
      <c r="H168" s="158">
        <v>134.82</v>
      </c>
      <c r="I168" s="264">
        <f t="shared" si="31"/>
        <v>1188.25</v>
      </c>
      <c r="J168" s="170">
        <f t="shared" si="23"/>
        <v>1589.25</v>
      </c>
      <c r="K168" s="158">
        <v>401</v>
      </c>
      <c r="L168" s="94">
        <v>1104.71</v>
      </c>
      <c r="M168" s="154">
        <f t="shared" si="24"/>
        <v>811.75</v>
      </c>
      <c r="N168" s="94">
        <f t="shared" si="26"/>
        <v>811.75</v>
      </c>
      <c r="O168" s="95">
        <f t="shared" si="28"/>
        <v>59.412500000000001</v>
      </c>
      <c r="Q168">
        <v>1053.43</v>
      </c>
    </row>
    <row r="169" spans="1:17" ht="13.5" x14ac:dyDescent="0.25">
      <c r="B169" s="96">
        <v>278</v>
      </c>
      <c r="C169" s="97" t="s">
        <v>248</v>
      </c>
      <c r="D169" s="98">
        <v>2500</v>
      </c>
      <c r="E169" s="94">
        <v>-500</v>
      </c>
      <c r="F169" s="100">
        <f t="shared" si="30"/>
        <v>2000</v>
      </c>
      <c r="G169" s="157">
        <v>2000</v>
      </c>
      <c r="H169" s="158"/>
      <c r="I169" s="264">
        <f t="shared" si="31"/>
        <v>0</v>
      </c>
      <c r="J169" s="170">
        <f t="shared" si="23"/>
        <v>0</v>
      </c>
      <c r="K169" s="158"/>
      <c r="L169" s="94">
        <v>0</v>
      </c>
      <c r="M169" s="154">
        <f t="shared" si="24"/>
        <v>2000</v>
      </c>
      <c r="N169" s="94">
        <f t="shared" si="26"/>
        <v>2000</v>
      </c>
      <c r="O169" s="95">
        <v>0</v>
      </c>
      <c r="Q169">
        <v>0</v>
      </c>
    </row>
    <row r="170" spans="1:17" ht="13.5" x14ac:dyDescent="0.25">
      <c r="B170" s="96" t="s">
        <v>249</v>
      </c>
      <c r="C170" s="97" t="s">
        <v>250</v>
      </c>
      <c r="D170" s="98">
        <v>25797</v>
      </c>
      <c r="E170" s="94">
        <v>48500</v>
      </c>
      <c r="F170" s="100">
        <f t="shared" si="30"/>
        <v>74297</v>
      </c>
      <c r="G170" s="157">
        <v>74297</v>
      </c>
      <c r="H170" s="158">
        <v>3020.3</v>
      </c>
      <c r="I170" s="264">
        <f t="shared" si="31"/>
        <v>54798.69000000001</v>
      </c>
      <c r="J170" s="170">
        <f t="shared" si="23"/>
        <v>63859.69000000001</v>
      </c>
      <c r="K170" s="158">
        <v>9061</v>
      </c>
      <c r="L170" s="94">
        <v>47591.54</v>
      </c>
      <c r="M170" s="154">
        <f t="shared" si="24"/>
        <v>19498.30999999999</v>
      </c>
      <c r="N170" s="94">
        <f t="shared" si="26"/>
        <v>19498.30999999999</v>
      </c>
      <c r="O170" s="95">
        <f>+I170*100/G170</f>
        <v>73.756262029422459</v>
      </c>
      <c r="Q170">
        <v>51778.390000000007</v>
      </c>
    </row>
    <row r="171" spans="1:17" x14ac:dyDescent="0.2">
      <c r="B171" s="109" t="s">
        <v>251</v>
      </c>
      <c r="C171" s="110" t="s">
        <v>252</v>
      </c>
      <c r="D171" s="90">
        <v>222000</v>
      </c>
      <c r="E171" s="90">
        <v>23900</v>
      </c>
      <c r="F171" s="91">
        <f t="shared" si="30"/>
        <v>245900</v>
      </c>
      <c r="G171" s="156">
        <v>245900</v>
      </c>
      <c r="H171" s="161">
        <v>32622.57</v>
      </c>
      <c r="I171" s="281">
        <f t="shared" si="31"/>
        <v>224602.57</v>
      </c>
      <c r="J171" s="164">
        <f t="shared" si="23"/>
        <v>260761.36000000002</v>
      </c>
      <c r="K171" s="161">
        <v>36158.79</v>
      </c>
      <c r="L171" s="102">
        <v>141460.98000000001</v>
      </c>
      <c r="M171" s="153">
        <f t="shared" si="24"/>
        <v>21297.429999999993</v>
      </c>
      <c r="N171" s="102">
        <f t="shared" si="26"/>
        <v>21297.429999999993</v>
      </c>
      <c r="O171" s="103">
        <f>+I171*100/G171</f>
        <v>91.338987393249283</v>
      </c>
      <c r="Q171">
        <v>191980</v>
      </c>
    </row>
    <row r="172" spans="1:17" ht="7.5" customHeight="1" x14ac:dyDescent="0.25">
      <c r="A172" s="85"/>
      <c r="B172" s="184"/>
      <c r="C172" s="243"/>
      <c r="D172" s="244"/>
      <c r="E172" s="244"/>
      <c r="F172" s="244">
        <v>0</v>
      </c>
      <c r="G172" s="243">
        <v>0</v>
      </c>
      <c r="H172" s="243"/>
      <c r="I172" s="243">
        <f t="shared" si="31"/>
        <v>0</v>
      </c>
      <c r="J172" s="164">
        <f t="shared" si="23"/>
        <v>0</v>
      </c>
      <c r="K172" s="243"/>
      <c r="L172" s="243"/>
      <c r="M172" s="153">
        <f t="shared" si="24"/>
        <v>0</v>
      </c>
      <c r="N172" s="243">
        <f t="shared" si="26"/>
        <v>0</v>
      </c>
      <c r="O172" s="245" t="s">
        <v>2</v>
      </c>
      <c r="Q172">
        <v>0</v>
      </c>
    </row>
    <row r="173" spans="1:17" x14ac:dyDescent="0.2">
      <c r="A173" s="85"/>
      <c r="B173" s="136">
        <v>290</v>
      </c>
      <c r="C173" s="246" t="s">
        <v>253</v>
      </c>
      <c r="D173" s="244">
        <f>SUM(D174:D181)</f>
        <v>0</v>
      </c>
      <c r="E173" s="244">
        <f>SUM(E174:E182)</f>
        <v>12207</v>
      </c>
      <c r="F173" s="244">
        <f t="shared" si="30"/>
        <v>12207</v>
      </c>
      <c r="G173" s="244">
        <f>SUM(G174:G182)</f>
        <v>12207</v>
      </c>
      <c r="H173" s="244">
        <f>SUM(H174:H182)</f>
        <v>329.03</v>
      </c>
      <c r="I173" s="247">
        <f>SUM(I174:I181)</f>
        <v>4335.3599999999997</v>
      </c>
      <c r="J173" s="164">
        <f t="shared" si="23"/>
        <v>8863.36</v>
      </c>
      <c r="K173" s="244">
        <f>SUM(K174:K182)</f>
        <v>4528</v>
      </c>
      <c r="L173" s="244">
        <f>SUM(L174:L182)</f>
        <v>2642.45</v>
      </c>
      <c r="M173" s="153">
        <f t="shared" si="24"/>
        <v>7871.64</v>
      </c>
      <c r="N173" s="247">
        <f t="shared" si="26"/>
        <v>7871.64</v>
      </c>
      <c r="O173" s="248">
        <f>+I173*100/G173</f>
        <v>35.515360039321699</v>
      </c>
      <c r="Q173">
        <v>4006.33</v>
      </c>
    </row>
    <row r="174" spans="1:17" ht="13.5" x14ac:dyDescent="0.25">
      <c r="A174" s="85"/>
      <c r="B174" s="96">
        <v>291</v>
      </c>
      <c r="C174" s="249" t="s">
        <v>254</v>
      </c>
      <c r="D174" s="244"/>
      <c r="E174" s="250">
        <v>3207</v>
      </c>
      <c r="F174" s="250">
        <f t="shared" si="30"/>
        <v>3207</v>
      </c>
      <c r="G174" s="243">
        <v>3207</v>
      </c>
      <c r="H174" s="243">
        <v>0</v>
      </c>
      <c r="I174" s="243">
        <f>+Q174+H174</f>
        <v>2642.45</v>
      </c>
      <c r="J174" s="170">
        <f t="shared" si="23"/>
        <v>2642.45</v>
      </c>
      <c r="K174" s="243">
        <v>0</v>
      </c>
      <c r="L174" s="243">
        <v>2642.45</v>
      </c>
      <c r="M174" s="154">
        <f t="shared" si="24"/>
        <v>564.55000000000018</v>
      </c>
      <c r="N174" s="243">
        <f t="shared" si="26"/>
        <v>564.55000000000018</v>
      </c>
      <c r="O174" s="245">
        <f>+I174*100/G174</f>
        <v>82.396320548799494</v>
      </c>
      <c r="Q174">
        <v>2642.45</v>
      </c>
    </row>
    <row r="175" spans="1:17" ht="15" customHeight="1" x14ac:dyDescent="0.25">
      <c r="A175" s="85"/>
      <c r="B175" s="225">
        <v>292</v>
      </c>
      <c r="C175" s="249" t="s">
        <v>357</v>
      </c>
      <c r="D175" s="251"/>
      <c r="E175" s="250">
        <v>990</v>
      </c>
      <c r="F175" s="250">
        <f>+D175+E175</f>
        <v>990</v>
      </c>
      <c r="G175" s="243">
        <v>990</v>
      </c>
      <c r="H175" s="251">
        <v>329.03</v>
      </c>
      <c r="I175" s="243">
        <f>+Q175+H175</f>
        <v>329.03</v>
      </c>
      <c r="J175" s="170">
        <f t="shared" si="23"/>
        <v>329.03</v>
      </c>
      <c r="K175" s="251">
        <v>0</v>
      </c>
      <c r="L175" s="251"/>
      <c r="M175" s="154">
        <f t="shared" si="24"/>
        <v>660.97</v>
      </c>
      <c r="N175" s="243">
        <f t="shared" si="26"/>
        <v>660.97</v>
      </c>
      <c r="O175" s="245">
        <v>0</v>
      </c>
      <c r="Q175">
        <v>0</v>
      </c>
    </row>
    <row r="176" spans="1:17" ht="13.5" customHeight="1" x14ac:dyDescent="0.25">
      <c r="A176" s="85"/>
      <c r="B176" s="96">
        <v>293</v>
      </c>
      <c r="C176" s="249" t="s">
        <v>255</v>
      </c>
      <c r="D176" s="250"/>
      <c r="E176" s="250">
        <v>0</v>
      </c>
      <c r="F176" s="250">
        <f>+D176+E176</f>
        <v>0</v>
      </c>
      <c r="G176" s="243">
        <v>0</v>
      </c>
      <c r="H176" s="243">
        <v>0</v>
      </c>
      <c r="I176" s="243">
        <f>+Q176+H176</f>
        <v>0</v>
      </c>
      <c r="J176" s="170">
        <f t="shared" si="23"/>
        <v>0</v>
      </c>
      <c r="K176" s="243">
        <v>0</v>
      </c>
      <c r="L176" s="243"/>
      <c r="M176" s="154">
        <f t="shared" si="24"/>
        <v>0</v>
      </c>
      <c r="N176" s="243">
        <f t="shared" si="26"/>
        <v>0</v>
      </c>
      <c r="O176" s="245">
        <v>0</v>
      </c>
      <c r="Q176">
        <v>0</v>
      </c>
    </row>
    <row r="177" spans="1:17" ht="15.75" customHeight="1" x14ac:dyDescent="0.25">
      <c r="A177" s="85"/>
      <c r="B177" s="113">
        <v>295</v>
      </c>
      <c r="C177" s="252" t="s">
        <v>383</v>
      </c>
      <c r="D177" s="244"/>
      <c r="E177" s="250">
        <v>0</v>
      </c>
      <c r="F177" s="250">
        <f t="shared" si="30"/>
        <v>0</v>
      </c>
      <c r="G177" s="243">
        <v>0</v>
      </c>
      <c r="H177" s="243">
        <v>0</v>
      </c>
      <c r="I177" s="243">
        <f>+Q177+H177</f>
        <v>0</v>
      </c>
      <c r="J177" s="170">
        <f t="shared" si="23"/>
        <v>0</v>
      </c>
      <c r="K177" s="243">
        <v>0</v>
      </c>
      <c r="L177" s="243"/>
      <c r="M177" s="154">
        <f t="shared" si="24"/>
        <v>0</v>
      </c>
      <c r="N177" s="243">
        <f t="shared" si="26"/>
        <v>0</v>
      </c>
      <c r="O177" s="245">
        <v>0</v>
      </c>
      <c r="Q177">
        <v>0</v>
      </c>
    </row>
    <row r="178" spans="1:17" ht="15.75" hidden="1" customHeight="1" x14ac:dyDescent="0.25">
      <c r="A178" s="85"/>
      <c r="B178" s="96" t="s">
        <v>2</v>
      </c>
      <c r="C178" s="249" t="s">
        <v>2</v>
      </c>
      <c r="D178" s="250"/>
      <c r="E178" s="250"/>
      <c r="F178" s="250"/>
      <c r="G178" s="243"/>
      <c r="H178" s="243"/>
      <c r="I178" s="243"/>
      <c r="J178" s="170">
        <f t="shared" si="23"/>
        <v>0</v>
      </c>
      <c r="K178" s="243"/>
      <c r="L178" s="243"/>
      <c r="M178" s="154">
        <f t="shared" si="24"/>
        <v>0</v>
      </c>
      <c r="N178" s="243"/>
      <c r="O178" s="245"/>
    </row>
    <row r="179" spans="1:17" ht="15.75" customHeight="1" x14ac:dyDescent="0.25">
      <c r="A179" s="85"/>
      <c r="B179" s="96">
        <v>296</v>
      </c>
      <c r="C179" s="249" t="s">
        <v>358</v>
      </c>
      <c r="D179" s="250"/>
      <c r="E179" s="250">
        <v>1100</v>
      </c>
      <c r="F179" s="250">
        <f>+D179+E179</f>
        <v>1100</v>
      </c>
      <c r="G179" s="243">
        <v>1100</v>
      </c>
      <c r="H179" s="243"/>
      <c r="I179" s="243">
        <f>+Q179+H179</f>
        <v>0</v>
      </c>
      <c r="J179" s="170">
        <f t="shared" si="23"/>
        <v>0</v>
      </c>
      <c r="K179" s="243"/>
      <c r="L179" s="243"/>
      <c r="M179" s="154">
        <f t="shared" si="24"/>
        <v>1100</v>
      </c>
      <c r="N179" s="243">
        <f t="shared" ref="N179:N202" si="32">+F179-I179</f>
        <v>1100</v>
      </c>
      <c r="O179" s="245"/>
      <c r="Q179">
        <v>0</v>
      </c>
    </row>
    <row r="180" spans="1:17" ht="14.25" customHeight="1" x14ac:dyDescent="0.25">
      <c r="A180" s="85"/>
      <c r="B180" s="113">
        <v>297</v>
      </c>
      <c r="C180" s="252" t="s">
        <v>256</v>
      </c>
      <c r="D180" s="244"/>
      <c r="E180" s="250">
        <v>5000</v>
      </c>
      <c r="F180" s="250">
        <f t="shared" si="30"/>
        <v>5000</v>
      </c>
      <c r="G180" s="243">
        <v>5000</v>
      </c>
      <c r="H180" s="243">
        <v>0</v>
      </c>
      <c r="I180" s="243">
        <f>+Q180+H180</f>
        <v>1363.88</v>
      </c>
      <c r="J180" s="170">
        <f t="shared" si="23"/>
        <v>5891.88</v>
      </c>
      <c r="K180" s="243">
        <v>4528</v>
      </c>
      <c r="L180" s="243"/>
      <c r="M180" s="154">
        <f t="shared" si="24"/>
        <v>3636.12</v>
      </c>
      <c r="N180" s="243">
        <f t="shared" si="32"/>
        <v>3636.12</v>
      </c>
      <c r="O180" s="245">
        <f>+I180*100/G180</f>
        <v>27.2776</v>
      </c>
      <c r="Q180">
        <v>1363.88</v>
      </c>
    </row>
    <row r="181" spans="1:17" ht="15.75" customHeight="1" x14ac:dyDescent="0.25">
      <c r="A181" s="85"/>
      <c r="B181" s="113">
        <v>298</v>
      </c>
      <c r="C181" s="252" t="s">
        <v>257</v>
      </c>
      <c r="D181" s="244"/>
      <c r="E181" s="250">
        <v>1200</v>
      </c>
      <c r="F181" s="250">
        <f t="shared" si="30"/>
        <v>1200</v>
      </c>
      <c r="G181" s="243">
        <v>1200</v>
      </c>
      <c r="H181" s="243">
        <v>0</v>
      </c>
      <c r="I181" s="243">
        <f>+Q181+H181</f>
        <v>0</v>
      </c>
      <c r="J181" s="170">
        <f t="shared" si="23"/>
        <v>0</v>
      </c>
      <c r="K181" s="243">
        <v>0</v>
      </c>
      <c r="L181" s="243">
        <v>0</v>
      </c>
      <c r="M181" s="154">
        <f t="shared" si="24"/>
        <v>1200</v>
      </c>
      <c r="N181" s="243">
        <f t="shared" si="32"/>
        <v>1200</v>
      </c>
      <c r="O181" s="245" t="s">
        <v>2</v>
      </c>
      <c r="Q181">
        <v>0</v>
      </c>
    </row>
    <row r="182" spans="1:17" ht="16.5" customHeight="1" x14ac:dyDescent="0.25">
      <c r="A182" s="85"/>
      <c r="B182" s="137">
        <v>299</v>
      </c>
      <c r="C182" s="252" t="s">
        <v>327</v>
      </c>
      <c r="D182" s="244"/>
      <c r="E182" s="250">
        <v>710</v>
      </c>
      <c r="F182" s="250">
        <f t="shared" si="30"/>
        <v>710</v>
      </c>
      <c r="G182" s="243">
        <v>710</v>
      </c>
      <c r="H182" s="243">
        <v>0</v>
      </c>
      <c r="I182" s="243">
        <f>+Q182+H182</f>
        <v>0</v>
      </c>
      <c r="J182" s="170">
        <f t="shared" si="23"/>
        <v>0</v>
      </c>
      <c r="K182" s="243">
        <v>0</v>
      </c>
      <c r="L182" s="243"/>
      <c r="M182" s="154">
        <f t="shared" si="24"/>
        <v>710</v>
      </c>
      <c r="N182" s="243">
        <f t="shared" si="32"/>
        <v>710</v>
      </c>
      <c r="O182" s="245" t="s">
        <v>2</v>
      </c>
      <c r="Q182">
        <v>0</v>
      </c>
    </row>
    <row r="183" spans="1:17" x14ac:dyDescent="0.2">
      <c r="A183" s="85"/>
      <c r="B183" s="88" t="s">
        <v>258</v>
      </c>
      <c r="C183" s="253" t="s">
        <v>259</v>
      </c>
      <c r="D183" s="244">
        <f>+D184+D191+D199+D200+D201+D196+D197+D198</f>
        <v>0</v>
      </c>
      <c r="E183" s="244">
        <f>+E184+E191+E196+E197+E198+E199+E200+E201+E202</f>
        <v>1128952</v>
      </c>
      <c r="F183" s="244">
        <f>+F184+F191+F199+F200+F201+F196+F197+F198+F202</f>
        <v>1128952</v>
      </c>
      <c r="G183" s="244">
        <f>+G184+G191+G196+G197+G198+G199+G200+G202+G201</f>
        <v>1128952</v>
      </c>
      <c r="H183" s="244">
        <f>+H184+H191+H199+H200+H201+H196+H197+H198+H202</f>
        <v>89097.51999999999</v>
      </c>
      <c r="I183" s="247">
        <f>+I184+I191+I196+I197+I198+I199+I200+I201+I202</f>
        <v>884921.59</v>
      </c>
      <c r="J183" s="164">
        <f t="shared" si="23"/>
        <v>1387084.01</v>
      </c>
      <c r="K183" s="244">
        <f>+K184+K191+K199+K200+K201+K196+K197+K198+K202</f>
        <v>502162.42</v>
      </c>
      <c r="L183" s="244">
        <f>+L184+L191+L199+L200+L201+L196+L197+L198+L202</f>
        <v>394621.25</v>
      </c>
      <c r="M183" s="153">
        <f t="shared" si="24"/>
        <v>244030.41000000003</v>
      </c>
      <c r="N183" s="247">
        <f t="shared" si="32"/>
        <v>244030.41000000003</v>
      </c>
      <c r="O183" s="248">
        <f>+I183*100/G183</f>
        <v>78.384341406897718</v>
      </c>
      <c r="Q183">
        <v>792857.25</v>
      </c>
    </row>
    <row r="184" spans="1:17" ht="18.75" customHeight="1" x14ac:dyDescent="0.2">
      <c r="A184" s="85"/>
      <c r="B184" s="136">
        <v>300</v>
      </c>
      <c r="C184" s="253" t="s">
        <v>260</v>
      </c>
      <c r="D184" s="247">
        <f>SUM(D185:D189)</f>
        <v>0</v>
      </c>
      <c r="E184" s="247">
        <v>62740</v>
      </c>
      <c r="F184" s="244">
        <f t="shared" si="30"/>
        <v>62740</v>
      </c>
      <c r="G184" s="247">
        <v>62740</v>
      </c>
      <c r="H184" s="247">
        <v>4422.22</v>
      </c>
      <c r="I184" s="247">
        <f t="shared" ref="I184:I203" si="33">+Q184+H184</f>
        <v>56494.67</v>
      </c>
      <c r="J184" s="164">
        <f t="shared" si="23"/>
        <v>103062.67</v>
      </c>
      <c r="K184" s="247">
        <f>9489+37079</f>
        <v>46568</v>
      </c>
      <c r="L184" s="247">
        <v>19531</v>
      </c>
      <c r="M184" s="153">
        <f t="shared" si="24"/>
        <v>6245.3300000000017</v>
      </c>
      <c r="N184" s="247">
        <f t="shared" si="32"/>
        <v>6245.3300000000017</v>
      </c>
      <c r="O184" s="248">
        <f>+I184*100/G184</f>
        <v>90.045696525342677</v>
      </c>
      <c r="Q184">
        <f>52016.45+56</f>
        <v>52072.45</v>
      </c>
    </row>
    <row r="185" spans="1:17" ht="18" hidden="1" customHeight="1" x14ac:dyDescent="0.25">
      <c r="A185" s="85"/>
      <c r="B185" s="113">
        <v>301</v>
      </c>
      <c r="C185" s="249" t="s">
        <v>310</v>
      </c>
      <c r="D185" s="250"/>
      <c r="E185" s="250"/>
      <c r="F185" s="250">
        <f t="shared" si="30"/>
        <v>0</v>
      </c>
      <c r="G185" s="243">
        <v>0</v>
      </c>
      <c r="H185" s="243">
        <v>0</v>
      </c>
      <c r="I185" s="243">
        <f t="shared" si="33"/>
        <v>0</v>
      </c>
      <c r="J185" s="164">
        <f t="shared" si="23"/>
        <v>0</v>
      </c>
      <c r="K185" s="243"/>
      <c r="L185" s="243"/>
      <c r="M185" s="154">
        <f t="shared" si="24"/>
        <v>0</v>
      </c>
      <c r="N185" s="243">
        <f t="shared" si="32"/>
        <v>0</v>
      </c>
      <c r="O185" s="245"/>
      <c r="Q185">
        <v>0</v>
      </c>
    </row>
    <row r="186" spans="1:17" ht="17.25" hidden="1" customHeight="1" x14ac:dyDescent="0.25">
      <c r="A186" s="85"/>
      <c r="B186" s="113">
        <v>303</v>
      </c>
      <c r="C186" s="249" t="s">
        <v>316</v>
      </c>
      <c r="D186" s="250"/>
      <c r="E186" s="250"/>
      <c r="F186" s="250">
        <f t="shared" si="30"/>
        <v>0</v>
      </c>
      <c r="G186" s="243"/>
      <c r="H186" s="243">
        <v>0</v>
      </c>
      <c r="I186" s="243">
        <f t="shared" si="33"/>
        <v>0</v>
      </c>
      <c r="J186" s="164">
        <f t="shared" si="23"/>
        <v>0</v>
      </c>
      <c r="K186" s="243"/>
      <c r="L186" s="243"/>
      <c r="M186" s="154">
        <f t="shared" si="24"/>
        <v>0</v>
      </c>
      <c r="N186" s="243">
        <f t="shared" si="32"/>
        <v>0</v>
      </c>
      <c r="O186" s="245"/>
      <c r="Q186">
        <v>0</v>
      </c>
    </row>
    <row r="187" spans="1:17" ht="15.75" hidden="1" customHeight="1" x14ac:dyDescent="0.25">
      <c r="A187" s="85"/>
      <c r="B187" s="113">
        <v>305</v>
      </c>
      <c r="C187" s="249" t="s">
        <v>338</v>
      </c>
      <c r="D187" s="250">
        <v>0</v>
      </c>
      <c r="E187" s="250"/>
      <c r="F187" s="250">
        <f t="shared" si="30"/>
        <v>0</v>
      </c>
      <c r="G187" s="243">
        <v>0</v>
      </c>
      <c r="H187" s="243">
        <v>0</v>
      </c>
      <c r="I187" s="243">
        <f t="shared" si="33"/>
        <v>0</v>
      </c>
      <c r="J187" s="164">
        <f t="shared" si="23"/>
        <v>0</v>
      </c>
      <c r="K187" s="243"/>
      <c r="L187" s="243">
        <v>0</v>
      </c>
      <c r="M187" s="154">
        <f t="shared" si="24"/>
        <v>0</v>
      </c>
      <c r="N187" s="243">
        <f t="shared" si="32"/>
        <v>0</v>
      </c>
      <c r="O187" s="245"/>
      <c r="Q187">
        <v>0</v>
      </c>
    </row>
    <row r="188" spans="1:17" ht="14.25" hidden="1" customHeight="1" x14ac:dyDescent="0.25">
      <c r="A188" s="85"/>
      <c r="B188" s="113">
        <v>307</v>
      </c>
      <c r="C188" s="249" t="s">
        <v>329</v>
      </c>
      <c r="D188" s="250"/>
      <c r="E188" s="250"/>
      <c r="F188" s="250">
        <f t="shared" si="30"/>
        <v>0</v>
      </c>
      <c r="G188" s="243"/>
      <c r="H188" s="243">
        <v>0</v>
      </c>
      <c r="I188" s="243">
        <f t="shared" si="33"/>
        <v>0</v>
      </c>
      <c r="J188" s="164">
        <f t="shared" si="23"/>
        <v>0</v>
      </c>
      <c r="K188" s="243"/>
      <c r="L188" s="243"/>
      <c r="M188" s="154">
        <f t="shared" si="24"/>
        <v>0</v>
      </c>
      <c r="N188" s="243">
        <f t="shared" si="32"/>
        <v>0</v>
      </c>
      <c r="O188" s="245"/>
      <c r="Q188">
        <v>0</v>
      </c>
    </row>
    <row r="189" spans="1:17" ht="17.25" hidden="1" customHeight="1" x14ac:dyDescent="0.25">
      <c r="A189" s="85"/>
      <c r="B189" s="113">
        <v>308</v>
      </c>
      <c r="C189" s="249" t="s">
        <v>317</v>
      </c>
      <c r="D189" s="250"/>
      <c r="E189" s="250"/>
      <c r="F189" s="250">
        <f t="shared" si="30"/>
        <v>0</v>
      </c>
      <c r="G189" s="243"/>
      <c r="H189" s="243">
        <v>0</v>
      </c>
      <c r="I189" s="243">
        <f t="shared" si="33"/>
        <v>0</v>
      </c>
      <c r="J189" s="164">
        <f t="shared" si="23"/>
        <v>0</v>
      </c>
      <c r="K189" s="243"/>
      <c r="L189" s="243"/>
      <c r="M189" s="154">
        <f t="shared" si="24"/>
        <v>0</v>
      </c>
      <c r="N189" s="243">
        <f t="shared" si="32"/>
        <v>0</v>
      </c>
      <c r="O189" s="245"/>
      <c r="Q189">
        <v>0</v>
      </c>
    </row>
    <row r="190" spans="1:17" ht="18" hidden="1" customHeight="1" x14ac:dyDescent="0.25">
      <c r="A190" s="85"/>
      <c r="B190" s="113">
        <v>309</v>
      </c>
      <c r="C190" s="249" t="s">
        <v>265</v>
      </c>
      <c r="D190" s="250"/>
      <c r="E190" s="250"/>
      <c r="F190" s="250">
        <f t="shared" si="30"/>
        <v>0</v>
      </c>
      <c r="G190" s="243">
        <v>0</v>
      </c>
      <c r="H190" s="243">
        <v>0</v>
      </c>
      <c r="I190" s="243">
        <f t="shared" si="33"/>
        <v>0</v>
      </c>
      <c r="J190" s="164">
        <f t="shared" si="23"/>
        <v>0</v>
      </c>
      <c r="K190" s="243"/>
      <c r="L190" s="243"/>
      <c r="M190" s="154">
        <f t="shared" si="24"/>
        <v>0</v>
      </c>
      <c r="N190" s="243">
        <f t="shared" si="32"/>
        <v>0</v>
      </c>
      <c r="O190" s="245"/>
      <c r="Q190">
        <v>0</v>
      </c>
    </row>
    <row r="191" spans="1:17" ht="14.25" customHeight="1" x14ac:dyDescent="0.25">
      <c r="A191" s="85"/>
      <c r="B191" s="136">
        <v>310</v>
      </c>
      <c r="C191" s="253" t="s">
        <v>261</v>
      </c>
      <c r="D191" s="244">
        <f>+D192+D193+D194</f>
        <v>0</v>
      </c>
      <c r="E191" s="244">
        <v>327400</v>
      </c>
      <c r="F191" s="244">
        <f t="shared" si="30"/>
        <v>327400</v>
      </c>
      <c r="G191" s="244">
        <v>327400</v>
      </c>
      <c r="H191" s="244">
        <v>709.41</v>
      </c>
      <c r="I191" s="247">
        <f t="shared" si="33"/>
        <v>197024.33000000002</v>
      </c>
      <c r="J191" s="164">
        <f t="shared" si="23"/>
        <v>197398.33000000002</v>
      </c>
      <c r="K191" s="244">
        <v>374</v>
      </c>
      <c r="L191" s="244">
        <f>+L192+L193+L194</f>
        <v>0</v>
      </c>
      <c r="M191" s="154">
        <f t="shared" si="24"/>
        <v>130375.66999999998</v>
      </c>
      <c r="N191" s="247">
        <f t="shared" si="32"/>
        <v>130375.66999999998</v>
      </c>
      <c r="O191" s="248"/>
      <c r="Q191">
        <f>195940+374.92</f>
        <v>196314.92</v>
      </c>
    </row>
    <row r="192" spans="1:17" ht="17.25" hidden="1" customHeight="1" x14ac:dyDescent="0.25">
      <c r="A192" s="85"/>
      <c r="B192" s="113">
        <v>313</v>
      </c>
      <c r="C192" s="249" t="s">
        <v>330</v>
      </c>
      <c r="D192" s="250"/>
      <c r="E192" s="250"/>
      <c r="F192" s="250">
        <f>+D192+E192</f>
        <v>0</v>
      </c>
      <c r="G192" s="250">
        <v>0</v>
      </c>
      <c r="H192" s="243">
        <v>0</v>
      </c>
      <c r="I192" s="243">
        <f t="shared" si="33"/>
        <v>0</v>
      </c>
      <c r="J192" s="164">
        <f t="shared" si="23"/>
        <v>0</v>
      </c>
      <c r="K192" s="243"/>
      <c r="L192" s="243"/>
      <c r="M192" s="154">
        <f t="shared" si="24"/>
        <v>0</v>
      </c>
      <c r="N192" s="243">
        <f t="shared" si="32"/>
        <v>0</v>
      </c>
      <c r="O192" s="245" t="s">
        <v>2</v>
      </c>
      <c r="Q192">
        <v>0</v>
      </c>
    </row>
    <row r="193" spans="1:17" ht="15.75" hidden="1" customHeight="1" x14ac:dyDescent="0.25">
      <c r="A193" s="85"/>
      <c r="B193" s="113">
        <v>314</v>
      </c>
      <c r="C193" s="249" t="s">
        <v>331</v>
      </c>
      <c r="D193" s="250">
        <v>0</v>
      </c>
      <c r="E193" s="250"/>
      <c r="F193" s="250">
        <f>+D193+E193</f>
        <v>0</v>
      </c>
      <c r="G193" s="250">
        <v>0</v>
      </c>
      <c r="H193" s="243">
        <v>0</v>
      </c>
      <c r="I193" s="243">
        <f t="shared" si="33"/>
        <v>0</v>
      </c>
      <c r="J193" s="164">
        <f t="shared" si="23"/>
        <v>0</v>
      </c>
      <c r="K193" s="243"/>
      <c r="L193" s="243">
        <v>0</v>
      </c>
      <c r="M193" s="154">
        <f t="shared" si="24"/>
        <v>0</v>
      </c>
      <c r="N193" s="243">
        <f t="shared" si="32"/>
        <v>0</v>
      </c>
      <c r="O193" s="245"/>
      <c r="Q193">
        <v>0</v>
      </c>
    </row>
    <row r="194" spans="1:17" ht="16.5" hidden="1" customHeight="1" x14ac:dyDescent="0.25">
      <c r="A194" s="85"/>
      <c r="B194" s="113">
        <v>319</v>
      </c>
      <c r="C194" s="249" t="s">
        <v>307</v>
      </c>
      <c r="D194" s="250"/>
      <c r="E194" s="250"/>
      <c r="F194" s="250">
        <f t="shared" si="30"/>
        <v>0</v>
      </c>
      <c r="G194" s="250">
        <v>0</v>
      </c>
      <c r="H194" s="243"/>
      <c r="I194" s="243">
        <f t="shared" si="33"/>
        <v>0</v>
      </c>
      <c r="J194" s="164">
        <f t="shared" si="23"/>
        <v>0</v>
      </c>
      <c r="K194" s="243"/>
      <c r="L194" s="243"/>
      <c r="M194" s="154">
        <f t="shared" si="24"/>
        <v>0</v>
      </c>
      <c r="N194" s="243">
        <f t="shared" si="32"/>
        <v>0</v>
      </c>
      <c r="O194" s="245"/>
      <c r="Q194">
        <v>0</v>
      </c>
    </row>
    <row r="195" spans="1:17" ht="16.5" hidden="1" customHeight="1" x14ac:dyDescent="0.25">
      <c r="A195" s="85"/>
      <c r="B195" s="113">
        <v>319</v>
      </c>
      <c r="C195" s="249" t="s">
        <v>307</v>
      </c>
      <c r="D195" s="250"/>
      <c r="E195" s="250">
        <v>0</v>
      </c>
      <c r="F195" s="250">
        <f t="shared" si="30"/>
        <v>0</v>
      </c>
      <c r="G195" s="243">
        <v>0</v>
      </c>
      <c r="H195" s="243"/>
      <c r="I195" s="243">
        <f t="shared" si="33"/>
        <v>0</v>
      </c>
      <c r="J195" s="164">
        <f t="shared" si="23"/>
        <v>0</v>
      </c>
      <c r="K195" s="243"/>
      <c r="L195" s="243"/>
      <c r="M195" s="154">
        <f t="shared" si="24"/>
        <v>0</v>
      </c>
      <c r="N195" s="243">
        <f t="shared" si="32"/>
        <v>0</v>
      </c>
      <c r="O195" s="245"/>
      <c r="Q195">
        <v>0</v>
      </c>
    </row>
    <row r="196" spans="1:17" ht="15.75" customHeight="1" x14ac:dyDescent="0.2">
      <c r="A196" s="85"/>
      <c r="B196" s="136">
        <v>320</v>
      </c>
      <c r="C196" s="246" t="s">
        <v>262</v>
      </c>
      <c r="D196" s="244">
        <v>0</v>
      </c>
      <c r="E196" s="244">
        <v>69300</v>
      </c>
      <c r="F196" s="244">
        <f t="shared" si="30"/>
        <v>69300</v>
      </c>
      <c r="G196" s="247">
        <v>69300</v>
      </c>
      <c r="H196" s="247">
        <v>25637.200000000001</v>
      </c>
      <c r="I196" s="247">
        <f t="shared" si="33"/>
        <v>62157.91</v>
      </c>
      <c r="J196" s="164">
        <f t="shared" si="23"/>
        <v>87184.91</v>
      </c>
      <c r="K196" s="247">
        <v>25027</v>
      </c>
      <c r="L196" s="247">
        <v>33664</v>
      </c>
      <c r="M196" s="153">
        <f t="shared" si="24"/>
        <v>7142.0899999999965</v>
      </c>
      <c r="N196" s="247">
        <f t="shared" si="32"/>
        <v>7142.0899999999965</v>
      </c>
      <c r="O196" s="248">
        <f>+I196*100/G196</f>
        <v>89.693953823953819</v>
      </c>
      <c r="Q196">
        <f>33985.33+2535.38</f>
        <v>36520.71</v>
      </c>
    </row>
    <row r="197" spans="1:17" ht="16.5" customHeight="1" x14ac:dyDescent="0.25">
      <c r="A197" s="85"/>
      <c r="B197" s="136">
        <v>330</v>
      </c>
      <c r="C197" s="246" t="s">
        <v>263</v>
      </c>
      <c r="D197" s="244">
        <v>0</v>
      </c>
      <c r="E197" s="244">
        <v>31025</v>
      </c>
      <c r="F197" s="244">
        <f t="shared" si="30"/>
        <v>31025</v>
      </c>
      <c r="G197" s="247">
        <v>31025</v>
      </c>
      <c r="H197" s="247">
        <v>0</v>
      </c>
      <c r="I197" s="247">
        <f t="shared" si="33"/>
        <v>28023.260000000002</v>
      </c>
      <c r="J197" s="164">
        <f t="shared" si="23"/>
        <v>47418.26</v>
      </c>
      <c r="K197" s="247">
        <f>12395+7000</f>
        <v>19395</v>
      </c>
      <c r="L197" s="247">
        <v>1385.61</v>
      </c>
      <c r="M197" s="154">
        <f t="shared" si="24"/>
        <v>3001.739999999998</v>
      </c>
      <c r="N197" s="247">
        <f t="shared" si="32"/>
        <v>3001.739999999998</v>
      </c>
      <c r="O197" s="248"/>
      <c r="Q197">
        <v>28023.260000000002</v>
      </c>
    </row>
    <row r="198" spans="1:17" ht="12" customHeight="1" x14ac:dyDescent="0.2">
      <c r="A198" s="85"/>
      <c r="B198" s="136">
        <v>340</v>
      </c>
      <c r="C198" s="246" t="s">
        <v>98</v>
      </c>
      <c r="D198" s="244">
        <v>0</v>
      </c>
      <c r="E198" s="244">
        <v>1000</v>
      </c>
      <c r="F198" s="244">
        <f t="shared" si="30"/>
        <v>1000</v>
      </c>
      <c r="G198" s="247">
        <v>1000</v>
      </c>
      <c r="H198" s="247">
        <v>0</v>
      </c>
      <c r="I198" s="247">
        <f t="shared" si="33"/>
        <v>131.44999999999999</v>
      </c>
      <c r="J198" s="164">
        <f t="shared" ref="J198:J202" si="34">+I198+K198</f>
        <v>3262.45</v>
      </c>
      <c r="K198" s="247">
        <v>3131</v>
      </c>
      <c r="L198" s="247">
        <v>131</v>
      </c>
      <c r="M198" s="153">
        <f t="shared" ref="M198:M202" si="35">+G198-I198</f>
        <v>868.55</v>
      </c>
      <c r="N198" s="247">
        <f t="shared" si="32"/>
        <v>868.55</v>
      </c>
      <c r="O198" s="248"/>
      <c r="Q198">
        <v>131.44999999999999</v>
      </c>
    </row>
    <row r="199" spans="1:17" ht="15" customHeight="1" x14ac:dyDescent="0.2">
      <c r="A199" s="85"/>
      <c r="B199" s="136">
        <v>350</v>
      </c>
      <c r="C199" s="246" t="s">
        <v>264</v>
      </c>
      <c r="D199" s="244">
        <v>0</v>
      </c>
      <c r="E199" s="244">
        <v>60440</v>
      </c>
      <c r="F199" s="244">
        <f t="shared" si="30"/>
        <v>60440</v>
      </c>
      <c r="G199" s="247">
        <v>60440</v>
      </c>
      <c r="H199" s="247">
        <v>4613.18</v>
      </c>
      <c r="I199" s="247">
        <f t="shared" si="33"/>
        <v>49918.11</v>
      </c>
      <c r="J199" s="164">
        <f t="shared" si="34"/>
        <v>103278.26000000001</v>
      </c>
      <c r="K199" s="247">
        <v>53360.15</v>
      </c>
      <c r="L199" s="247">
        <v>36532</v>
      </c>
      <c r="M199" s="153">
        <f t="shared" si="35"/>
        <v>10521.89</v>
      </c>
      <c r="N199" s="247">
        <f t="shared" si="32"/>
        <v>10521.89</v>
      </c>
      <c r="O199" s="248"/>
      <c r="Q199">
        <v>45304.93</v>
      </c>
    </row>
    <row r="200" spans="1:17" ht="12.75" customHeight="1" x14ac:dyDescent="0.2">
      <c r="A200" s="85"/>
      <c r="B200" s="136">
        <v>370</v>
      </c>
      <c r="C200" s="246" t="s">
        <v>265</v>
      </c>
      <c r="D200" s="244">
        <v>0</v>
      </c>
      <c r="E200" s="244">
        <v>290317</v>
      </c>
      <c r="F200" s="244">
        <f>+D200+E200</f>
        <v>290317</v>
      </c>
      <c r="G200" s="247">
        <f>290317</f>
        <v>290317</v>
      </c>
      <c r="H200" s="247">
        <v>45269.17</v>
      </c>
      <c r="I200" s="247">
        <f t="shared" si="33"/>
        <v>251678.96000000002</v>
      </c>
      <c r="J200" s="164">
        <f t="shared" si="34"/>
        <v>457088.23</v>
      </c>
      <c r="K200" s="247">
        <v>205409.27</v>
      </c>
      <c r="L200" s="247">
        <v>133764</v>
      </c>
      <c r="M200" s="153">
        <f t="shared" si="35"/>
        <v>38638.039999999979</v>
      </c>
      <c r="N200" s="247">
        <f t="shared" si="32"/>
        <v>38638.039999999979</v>
      </c>
      <c r="O200" s="248">
        <f>+I200*100/G200</f>
        <v>86.691085950874395</v>
      </c>
      <c r="Q200">
        <v>206409.79</v>
      </c>
    </row>
    <row r="201" spans="1:17" ht="12.75" customHeight="1" x14ac:dyDescent="0.2">
      <c r="A201" s="85"/>
      <c r="B201" s="136">
        <v>380</v>
      </c>
      <c r="C201" s="246" t="s">
        <v>266</v>
      </c>
      <c r="D201" s="244"/>
      <c r="E201" s="244">
        <f>221680</f>
        <v>221680</v>
      </c>
      <c r="F201" s="244">
        <f t="shared" si="30"/>
        <v>221680</v>
      </c>
      <c r="G201" s="247">
        <v>221680</v>
      </c>
      <c r="H201" s="247">
        <v>8446.34</v>
      </c>
      <c r="I201" s="247">
        <f t="shared" si="33"/>
        <v>183405.05999999997</v>
      </c>
      <c r="J201" s="164">
        <f t="shared" si="34"/>
        <v>306789.05999999994</v>
      </c>
      <c r="K201" s="247">
        <f>111384+12000</f>
        <v>123384</v>
      </c>
      <c r="L201" s="247">
        <v>168997</v>
      </c>
      <c r="M201" s="153">
        <f t="shared" si="35"/>
        <v>38274.940000000031</v>
      </c>
      <c r="N201" s="247">
        <f t="shared" si="32"/>
        <v>38274.940000000031</v>
      </c>
      <c r="O201" s="248">
        <f>+I201*100/G201</f>
        <v>82.734148321905437</v>
      </c>
      <c r="Q201">
        <v>174958.71999999997</v>
      </c>
    </row>
    <row r="202" spans="1:17" ht="12" customHeight="1" x14ac:dyDescent="0.2">
      <c r="A202" s="85"/>
      <c r="B202" s="136">
        <v>390</v>
      </c>
      <c r="C202" s="246" t="s">
        <v>334</v>
      </c>
      <c r="D202" s="244"/>
      <c r="E202" s="244">
        <v>65050</v>
      </c>
      <c r="F202" s="244">
        <f t="shared" si="30"/>
        <v>65050</v>
      </c>
      <c r="G202" s="247">
        <v>65050</v>
      </c>
      <c r="H202" s="247">
        <v>0</v>
      </c>
      <c r="I202" s="247">
        <f t="shared" si="33"/>
        <v>56087.840000000004</v>
      </c>
      <c r="J202" s="164">
        <f t="shared" si="34"/>
        <v>81601.84</v>
      </c>
      <c r="K202" s="247">
        <v>25514</v>
      </c>
      <c r="L202" s="247">
        <v>616.64</v>
      </c>
      <c r="M202" s="153">
        <f t="shared" si="35"/>
        <v>8962.1599999999962</v>
      </c>
      <c r="N202" s="247">
        <f t="shared" si="32"/>
        <v>8962.1599999999962</v>
      </c>
      <c r="O202" s="248">
        <f>+I202*100/G202</f>
        <v>86.222659492697929</v>
      </c>
      <c r="Q202">
        <v>56087.840000000004</v>
      </c>
    </row>
    <row r="203" spans="1:17" ht="13.5" hidden="1" x14ac:dyDescent="0.25">
      <c r="A203" s="85"/>
      <c r="B203" s="139"/>
      <c r="C203" s="226"/>
      <c r="D203" s="140"/>
      <c r="E203" s="140"/>
      <c r="F203" s="140"/>
      <c r="G203" s="227"/>
      <c r="H203" s="228"/>
      <c r="I203" s="184">
        <f t="shared" si="33"/>
        <v>0</v>
      </c>
      <c r="J203" s="184"/>
      <c r="K203" s="228"/>
      <c r="L203" s="228"/>
      <c r="M203" s="227"/>
      <c r="N203" s="227"/>
      <c r="O203" s="229"/>
    </row>
    <row r="204" spans="1:17" hidden="1" x14ac:dyDescent="0.2">
      <c r="A204" s="85"/>
      <c r="B204" s="139"/>
      <c r="C204" s="226"/>
      <c r="D204" s="140"/>
      <c r="E204" s="140"/>
      <c r="F204" s="140"/>
      <c r="G204" s="227"/>
      <c r="H204" s="228"/>
      <c r="I204" s="228"/>
      <c r="J204" s="228"/>
      <c r="K204" s="228"/>
      <c r="L204" s="228"/>
      <c r="M204" s="228"/>
      <c r="N204" s="228"/>
      <c r="O204" s="229"/>
    </row>
    <row r="205" spans="1:17" ht="12.75" hidden="1" customHeight="1" x14ac:dyDescent="0.2">
      <c r="B205" s="292" t="s">
        <v>404</v>
      </c>
      <c r="C205" s="292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</row>
    <row r="206" spans="1:17" ht="12.75" hidden="1" customHeight="1" x14ac:dyDescent="0.2">
      <c r="B206" s="290" t="s">
        <v>405</v>
      </c>
      <c r="C206" s="290"/>
      <c r="D206" s="290"/>
      <c r="E206" s="290"/>
      <c r="F206" s="290"/>
      <c r="G206" s="290"/>
      <c r="H206" s="290"/>
      <c r="I206" s="290"/>
      <c r="J206" s="290"/>
      <c r="K206" s="290"/>
      <c r="L206" s="290"/>
      <c r="M206" s="290"/>
      <c r="N206" s="290"/>
      <c r="O206" s="290"/>
    </row>
    <row r="207" spans="1:17" ht="12.75" hidden="1" customHeight="1" x14ac:dyDescent="0.2">
      <c r="A207" s="126"/>
      <c r="B207" s="303" t="s">
        <v>43</v>
      </c>
      <c r="C207" s="303"/>
      <c r="D207" s="304" t="s">
        <v>17</v>
      </c>
      <c r="E207" s="304"/>
      <c r="F207" s="304"/>
      <c r="G207" s="304"/>
      <c r="H207" s="304" t="s">
        <v>44</v>
      </c>
      <c r="I207" s="304"/>
      <c r="J207" s="309" t="s">
        <v>400</v>
      </c>
      <c r="K207" s="309"/>
      <c r="L207" s="304" t="s">
        <v>45</v>
      </c>
      <c r="M207" s="305" t="s">
        <v>14</v>
      </c>
      <c r="N207" s="306"/>
      <c r="O207" s="302" t="s">
        <v>46</v>
      </c>
    </row>
    <row r="208" spans="1:17" ht="12.75" hidden="1" customHeight="1" x14ac:dyDescent="0.2">
      <c r="A208" s="126"/>
      <c r="B208" s="303"/>
      <c r="C208" s="303"/>
      <c r="D208" s="304"/>
      <c r="E208" s="304"/>
      <c r="F208" s="304"/>
      <c r="G208" s="304"/>
      <c r="H208" s="304"/>
      <c r="I208" s="304"/>
      <c r="J208" s="310"/>
      <c r="K208" s="310"/>
      <c r="L208" s="304"/>
      <c r="M208" s="307"/>
      <c r="N208" s="308"/>
      <c r="O208" s="302"/>
    </row>
    <row r="209" spans="1:20" hidden="1" x14ac:dyDescent="0.2">
      <c r="A209" s="126"/>
      <c r="B209" s="303"/>
      <c r="C209" s="303"/>
      <c r="D209" s="240" t="s">
        <v>47</v>
      </c>
      <c r="E209" s="240" t="s">
        <v>48</v>
      </c>
      <c r="F209" s="240" t="s">
        <v>49</v>
      </c>
      <c r="G209" s="240" t="s">
        <v>1</v>
      </c>
      <c r="H209" s="240" t="s">
        <v>18</v>
      </c>
      <c r="I209" s="241" t="s">
        <v>50</v>
      </c>
      <c r="J209" s="275"/>
      <c r="K209" s="276" t="s">
        <v>398</v>
      </c>
      <c r="L209" s="304"/>
      <c r="M209" s="242" t="s">
        <v>51</v>
      </c>
      <c r="N209" s="240" t="s">
        <v>16</v>
      </c>
      <c r="O209" s="302"/>
    </row>
    <row r="210" spans="1:20" x14ac:dyDescent="0.2">
      <c r="B210" s="291" t="s">
        <v>416</v>
      </c>
      <c r="C210" s="291"/>
      <c r="D210" s="291"/>
      <c r="E210" s="291"/>
      <c r="F210" s="291"/>
      <c r="G210" s="291"/>
      <c r="H210" s="291"/>
      <c r="I210" s="291"/>
      <c r="J210" s="291"/>
      <c r="K210" s="291"/>
      <c r="L210" s="291"/>
      <c r="M210" s="291"/>
      <c r="N210" s="291"/>
      <c r="O210" s="291"/>
    </row>
    <row r="211" spans="1:20" x14ac:dyDescent="0.2">
      <c r="B211" s="290" t="s">
        <v>410</v>
      </c>
      <c r="C211" s="290"/>
      <c r="D211" s="290"/>
      <c r="E211" s="290"/>
      <c r="F211" s="290"/>
      <c r="G211" s="290"/>
      <c r="H211" s="290"/>
      <c r="I211" s="290"/>
      <c r="J211" s="290"/>
      <c r="K211" s="290"/>
      <c r="L211" s="290"/>
      <c r="M211" s="290"/>
      <c r="N211" s="290"/>
      <c r="O211" s="290"/>
    </row>
    <row r="212" spans="1:20" x14ac:dyDescent="0.2">
      <c r="A212" s="126"/>
      <c r="B212" s="293" t="s">
        <v>43</v>
      </c>
      <c r="C212" s="294"/>
      <c r="D212" s="295" t="s">
        <v>17</v>
      </c>
      <c r="E212" s="295"/>
      <c r="F212" s="295"/>
      <c r="G212" s="295"/>
      <c r="H212" s="296" t="s">
        <v>44</v>
      </c>
      <c r="I212" s="296"/>
      <c r="J212" s="309" t="s">
        <v>400</v>
      </c>
      <c r="K212" s="309"/>
      <c r="L212" s="296" t="s">
        <v>45</v>
      </c>
      <c r="M212" s="297" t="s">
        <v>14</v>
      </c>
      <c r="N212" s="298"/>
      <c r="O212" s="311" t="s">
        <v>46</v>
      </c>
    </row>
    <row r="213" spans="1:20" x14ac:dyDescent="0.2">
      <c r="A213" s="126"/>
      <c r="B213" s="293"/>
      <c r="C213" s="294"/>
      <c r="D213" s="295"/>
      <c r="E213" s="295"/>
      <c r="F213" s="295"/>
      <c r="G213" s="295"/>
      <c r="H213" s="296"/>
      <c r="I213" s="296"/>
      <c r="J213" s="310"/>
      <c r="K213" s="310"/>
      <c r="L213" s="296"/>
      <c r="M213" s="299"/>
      <c r="N213" s="300"/>
      <c r="O213" s="311"/>
    </row>
    <row r="214" spans="1:20" x14ac:dyDescent="0.2">
      <c r="A214" s="126"/>
      <c r="B214" s="293"/>
      <c r="C214" s="294"/>
      <c r="D214" s="235" t="s">
        <v>47</v>
      </c>
      <c r="E214" s="235" t="s">
        <v>48</v>
      </c>
      <c r="F214" s="235" t="s">
        <v>49</v>
      </c>
      <c r="G214" s="235" t="s">
        <v>1</v>
      </c>
      <c r="H214" s="236" t="s">
        <v>18</v>
      </c>
      <c r="I214" s="237" t="s">
        <v>50</v>
      </c>
      <c r="J214" s="275"/>
      <c r="K214" s="276" t="s">
        <v>398</v>
      </c>
      <c r="L214" s="296"/>
      <c r="M214" s="238" t="s">
        <v>51</v>
      </c>
      <c r="N214" s="239" t="s">
        <v>16</v>
      </c>
      <c r="O214" s="311"/>
    </row>
    <row r="215" spans="1:20" ht="12.75" customHeight="1" x14ac:dyDescent="0.2">
      <c r="B215" s="136">
        <v>4</v>
      </c>
      <c r="C215" s="110" t="s">
        <v>267</v>
      </c>
      <c r="D215" s="90">
        <f>SUM(D216)</f>
        <v>1300000</v>
      </c>
      <c r="E215" s="90">
        <f>+E216+E218</f>
        <v>348138</v>
      </c>
      <c r="F215" s="90">
        <f t="shared" si="30"/>
        <v>1648138</v>
      </c>
      <c r="G215" s="91">
        <f>+G216+G218</f>
        <v>1648138</v>
      </c>
      <c r="H215" s="131">
        <f>+H216+H218</f>
        <v>153059</v>
      </c>
      <c r="I215" s="281">
        <f>+I216+I218</f>
        <v>1455193.55</v>
      </c>
      <c r="J215" s="164">
        <f t="shared" ref="J215:J245" si="36">+I215+K215</f>
        <v>1873189.55</v>
      </c>
      <c r="K215" s="131">
        <f>+K216+K218</f>
        <v>417996</v>
      </c>
      <c r="L215" s="90">
        <f>+L216+L218</f>
        <v>1009613</v>
      </c>
      <c r="M215" s="153">
        <f t="shared" ref="M215:M247" si="37">+G215-I215</f>
        <v>192944.44999999995</v>
      </c>
      <c r="N215" s="102">
        <f>+F215-I215</f>
        <v>192944.44999999995</v>
      </c>
      <c r="O215" s="103">
        <f>+I215*100/G215</f>
        <v>88.29318600748239</v>
      </c>
      <c r="Q215">
        <v>1214235.55</v>
      </c>
    </row>
    <row r="216" spans="1:20" x14ac:dyDescent="0.2">
      <c r="B216" s="136">
        <v>430</v>
      </c>
      <c r="C216" s="110" t="s">
        <v>268</v>
      </c>
      <c r="D216" s="90">
        <f>SUM(D217)</f>
        <v>1300000</v>
      </c>
      <c r="E216" s="110">
        <f>SUM(E217)</f>
        <v>348138</v>
      </c>
      <c r="F216" s="90">
        <f t="shared" si="30"/>
        <v>1648138</v>
      </c>
      <c r="G216" s="91">
        <f>+G217</f>
        <v>1648138</v>
      </c>
      <c r="H216" s="93">
        <f>+H217</f>
        <v>153059</v>
      </c>
      <c r="I216" s="281">
        <f>+I217</f>
        <v>1455193.55</v>
      </c>
      <c r="J216" s="164">
        <f t="shared" si="36"/>
        <v>1873189.55</v>
      </c>
      <c r="K216" s="93">
        <f>+K217</f>
        <v>417996</v>
      </c>
      <c r="L216" s="90">
        <f>+L217</f>
        <v>1009613</v>
      </c>
      <c r="M216" s="153">
        <f t="shared" si="37"/>
        <v>192944.44999999995</v>
      </c>
      <c r="N216" s="102">
        <f>+F216-I216</f>
        <v>192944.44999999995</v>
      </c>
      <c r="O216" s="103">
        <f>+I216*100/G216</f>
        <v>88.29318600748239</v>
      </c>
      <c r="Q216">
        <v>1214235.55</v>
      </c>
    </row>
    <row r="217" spans="1:20" ht="13.5" customHeight="1" x14ac:dyDescent="0.25">
      <c r="B217" s="113">
        <v>439</v>
      </c>
      <c r="C217" s="99" t="s">
        <v>269</v>
      </c>
      <c r="D217" s="98">
        <v>1300000</v>
      </c>
      <c r="E217" s="98">
        <v>348138</v>
      </c>
      <c r="F217" s="98">
        <f t="shared" si="30"/>
        <v>1648138</v>
      </c>
      <c r="G217" s="100">
        <v>1648138</v>
      </c>
      <c r="H217" s="101">
        <v>153059</v>
      </c>
      <c r="I217" s="264">
        <f>+Q217+H217</f>
        <v>1455193.55</v>
      </c>
      <c r="J217" s="170">
        <f t="shared" si="36"/>
        <v>1873189.55</v>
      </c>
      <c r="K217" s="101">
        <v>417996</v>
      </c>
      <c r="L217" s="98">
        <v>1009613</v>
      </c>
      <c r="M217" s="154">
        <f t="shared" si="37"/>
        <v>192944.44999999995</v>
      </c>
      <c r="N217" s="94">
        <f>+F217-I217</f>
        <v>192944.44999999995</v>
      </c>
      <c r="O217" s="95">
        <f>+I217*100/G217</f>
        <v>88.29318600748239</v>
      </c>
      <c r="Q217">
        <f>1214235.55+64013+23886</f>
        <v>1302134.55</v>
      </c>
    </row>
    <row r="218" spans="1:20" ht="15" hidden="1" customHeight="1" x14ac:dyDescent="0.25">
      <c r="B218" s="136">
        <v>490</v>
      </c>
      <c r="C218" s="110" t="s">
        <v>270</v>
      </c>
      <c r="D218" s="98">
        <f>SUM(D219)</f>
        <v>0</v>
      </c>
      <c r="E218" s="90">
        <f>+E219</f>
        <v>0</v>
      </c>
      <c r="F218" s="90">
        <f t="shared" si="30"/>
        <v>0</v>
      </c>
      <c r="G218" s="91">
        <f>+G219</f>
        <v>0</v>
      </c>
      <c r="H218" s="92">
        <f>+H219</f>
        <v>0</v>
      </c>
      <c r="I218" s="278">
        <f>+I219</f>
        <v>0</v>
      </c>
      <c r="J218" s="170">
        <f t="shared" si="36"/>
        <v>0</v>
      </c>
      <c r="K218" s="92">
        <f>+K219</f>
        <v>0</v>
      </c>
      <c r="L218" s="90">
        <f>+L219</f>
        <v>0</v>
      </c>
      <c r="M218" s="154">
        <f t="shared" si="37"/>
        <v>0</v>
      </c>
      <c r="N218" s="102">
        <f>+F218-I218</f>
        <v>0</v>
      </c>
      <c r="O218" s="103">
        <v>0</v>
      </c>
      <c r="Q218">
        <v>0</v>
      </c>
    </row>
    <row r="219" spans="1:20" ht="14.25" hidden="1" customHeight="1" x14ac:dyDescent="0.25">
      <c r="B219" s="113">
        <v>494</v>
      </c>
      <c r="C219" s="99" t="s">
        <v>271</v>
      </c>
      <c r="D219" s="98"/>
      <c r="E219" s="98">
        <v>0</v>
      </c>
      <c r="F219" s="98">
        <f t="shared" si="30"/>
        <v>0</v>
      </c>
      <c r="G219" s="104">
        <v>0</v>
      </c>
      <c r="H219" s="105">
        <v>0</v>
      </c>
      <c r="I219" s="264">
        <f>+Q219+H219</f>
        <v>0</v>
      </c>
      <c r="J219" s="170">
        <f t="shared" si="36"/>
        <v>0</v>
      </c>
      <c r="K219" s="105">
        <v>0</v>
      </c>
      <c r="L219" s="94"/>
      <c r="M219" s="154">
        <f t="shared" si="37"/>
        <v>0</v>
      </c>
      <c r="N219" s="94">
        <f>+F219-I219</f>
        <v>0</v>
      </c>
      <c r="O219" s="95">
        <v>0</v>
      </c>
      <c r="Q219">
        <v>0</v>
      </c>
    </row>
    <row r="220" spans="1:20" ht="4.5" customHeight="1" x14ac:dyDescent="0.25">
      <c r="B220" s="113"/>
      <c r="C220" s="99"/>
      <c r="D220" s="98"/>
      <c r="E220" s="98"/>
      <c r="F220" s="98"/>
      <c r="G220" s="104"/>
      <c r="H220" s="105"/>
      <c r="I220" s="264">
        <f>+Q220+H220</f>
        <v>0</v>
      </c>
      <c r="J220" s="170">
        <f t="shared" si="36"/>
        <v>0</v>
      </c>
      <c r="K220" s="105"/>
      <c r="L220" s="94">
        <v>0</v>
      </c>
      <c r="M220" s="154">
        <f t="shared" si="37"/>
        <v>0</v>
      </c>
      <c r="N220" s="94"/>
      <c r="O220" s="95"/>
      <c r="Q220">
        <v>0</v>
      </c>
    </row>
    <row r="221" spans="1:20" x14ac:dyDescent="0.2">
      <c r="B221" s="88" t="s">
        <v>272</v>
      </c>
      <c r="C221" s="89" t="s">
        <v>414</v>
      </c>
      <c r="D221" s="90">
        <f>+D222+D224+D233+D235+D230</f>
        <v>750000</v>
      </c>
      <c r="E221" s="90">
        <f>+E222+E224+E233+E235+E230+E240</f>
        <v>384700</v>
      </c>
      <c r="F221" s="90">
        <f>+F222+F224+F230+F233+F235</f>
        <v>1134700</v>
      </c>
      <c r="G221" s="90">
        <f>+G222+G224+G230+G233+G235</f>
        <v>1132787</v>
      </c>
      <c r="H221" s="93">
        <f>+H222+H224+H233+H235+H230+H240</f>
        <v>69321.899999999994</v>
      </c>
      <c r="I221" s="278">
        <f>+I222+I224+I233+I235+I230+I240</f>
        <v>581909.26</v>
      </c>
      <c r="J221" s="164">
        <f t="shared" si="36"/>
        <v>656169.26</v>
      </c>
      <c r="K221" s="93">
        <f>+K222+K224+K233+K235+K230+K240</f>
        <v>74260</v>
      </c>
      <c r="L221" s="90">
        <f>+L222+L224+L233+L235+L230+L240</f>
        <v>548789.19999999995</v>
      </c>
      <c r="M221" s="153">
        <f t="shared" si="37"/>
        <v>550877.74</v>
      </c>
      <c r="N221" s="102">
        <f>+F221-I221</f>
        <v>552790.74</v>
      </c>
      <c r="O221" s="103">
        <f>+I221*100/G221</f>
        <v>51.369697922027704</v>
      </c>
      <c r="Q221">
        <v>429460.39999999997</v>
      </c>
    </row>
    <row r="222" spans="1:20" x14ac:dyDescent="0.2">
      <c r="B222" s="88" t="s">
        <v>274</v>
      </c>
      <c r="C222" s="89" t="s">
        <v>275</v>
      </c>
      <c r="D222" s="90">
        <f>SUM(D223)</f>
        <v>120000</v>
      </c>
      <c r="E222" s="90">
        <f>SUM(E223)</f>
        <v>-67000</v>
      </c>
      <c r="F222" s="90">
        <f t="shared" si="30"/>
        <v>53000</v>
      </c>
      <c r="G222" s="91">
        <f>+G223</f>
        <v>53000</v>
      </c>
      <c r="H222" s="93">
        <f>+H223</f>
        <v>2303.9</v>
      </c>
      <c r="I222" s="281">
        <f>SUM(I223)</f>
        <v>52191.460000000006</v>
      </c>
      <c r="J222" s="164">
        <f t="shared" si="36"/>
        <v>52191.460000000006</v>
      </c>
      <c r="K222" s="93">
        <f>+K223</f>
        <v>0</v>
      </c>
      <c r="L222" s="90">
        <f>+L223</f>
        <v>52191.58</v>
      </c>
      <c r="M222" s="153">
        <f t="shared" si="37"/>
        <v>808.5399999999936</v>
      </c>
      <c r="N222" s="102">
        <f>+F222-I222</f>
        <v>808.5399999999936</v>
      </c>
      <c r="O222" s="103">
        <f>+I222*100/G222</f>
        <v>98.474452830188696</v>
      </c>
      <c r="Q222">
        <v>45279.979999999989</v>
      </c>
    </row>
    <row r="223" spans="1:20" ht="16.5" customHeight="1" x14ac:dyDescent="0.25">
      <c r="B223" s="96" t="s">
        <v>276</v>
      </c>
      <c r="C223" s="97" t="s">
        <v>275</v>
      </c>
      <c r="D223" s="98">
        <v>120000</v>
      </c>
      <c r="E223" s="98">
        <v>-67000</v>
      </c>
      <c r="F223" s="98">
        <f t="shared" si="30"/>
        <v>53000</v>
      </c>
      <c r="G223" s="100">
        <v>53000</v>
      </c>
      <c r="H223" s="101">
        <v>2303.9</v>
      </c>
      <c r="I223" s="264">
        <f>+Q223+H223</f>
        <v>52191.460000000006</v>
      </c>
      <c r="J223" s="170">
        <f t="shared" si="36"/>
        <v>52191.460000000006</v>
      </c>
      <c r="K223" s="101"/>
      <c r="L223" s="98">
        <v>52191.58</v>
      </c>
      <c r="M223" s="154">
        <f t="shared" si="37"/>
        <v>808.5399999999936</v>
      </c>
      <c r="N223" s="94">
        <f>+F223-I223</f>
        <v>808.5399999999936</v>
      </c>
      <c r="O223" s="95">
        <f>+I223*100/G223</f>
        <v>98.474452830188696</v>
      </c>
      <c r="Q223">
        <f>45279.98+6607.58-2000</f>
        <v>49887.560000000005</v>
      </c>
    </row>
    <row r="224" spans="1:20" x14ac:dyDescent="0.2">
      <c r="B224" s="109" t="s">
        <v>277</v>
      </c>
      <c r="C224" s="110" t="s">
        <v>130</v>
      </c>
      <c r="D224" s="90">
        <f>+D225+D227+D229+D228+D226</f>
        <v>230000</v>
      </c>
      <c r="E224" s="90">
        <f>+E225+E227+E229+E228+E226</f>
        <v>566000</v>
      </c>
      <c r="F224" s="90">
        <f>+F225+F228+F229</f>
        <v>796000</v>
      </c>
      <c r="G224" s="91">
        <f>+G225+G226+G228+G229</f>
        <v>796000</v>
      </c>
      <c r="H224" s="93">
        <f>SUM(H225:H229)</f>
        <v>41297</v>
      </c>
      <c r="I224" s="281">
        <f>SUM(I225:I229)</f>
        <v>391526.22</v>
      </c>
      <c r="J224" s="164">
        <f t="shared" si="36"/>
        <v>403976.22</v>
      </c>
      <c r="K224" s="93">
        <f>SUM(K225:K229)</f>
        <v>12450</v>
      </c>
      <c r="L224" s="90">
        <f>SUM(L225:L229)</f>
        <v>390330.22</v>
      </c>
      <c r="M224" s="153">
        <f t="shared" si="37"/>
        <v>404473.78</v>
      </c>
      <c r="N224" s="102">
        <f>+F224-I224</f>
        <v>404473.78</v>
      </c>
      <c r="O224" s="103">
        <f>+I224*100/G224</f>
        <v>49.186711055276383</v>
      </c>
      <c r="Q224">
        <v>286496.43</v>
      </c>
      <c r="T224" s="1"/>
    </row>
    <row r="225" spans="2:17" ht="13.5" x14ac:dyDescent="0.25">
      <c r="B225" s="113">
        <v>611</v>
      </c>
      <c r="C225" s="99" t="s">
        <v>311</v>
      </c>
      <c r="D225" s="98">
        <v>11000</v>
      </c>
      <c r="E225" s="98">
        <v>-4000</v>
      </c>
      <c r="F225" s="98">
        <f t="shared" si="30"/>
        <v>7000</v>
      </c>
      <c r="G225" s="104">
        <v>7000</v>
      </c>
      <c r="H225" s="105">
        <v>0</v>
      </c>
      <c r="I225" s="264">
        <f>+Q225+H225</f>
        <v>3998.85</v>
      </c>
      <c r="J225" s="170">
        <f t="shared" si="36"/>
        <v>3998.85</v>
      </c>
      <c r="K225" s="105"/>
      <c r="L225" s="94">
        <v>2802.6</v>
      </c>
      <c r="M225" s="154">
        <f t="shared" si="37"/>
        <v>3001.15</v>
      </c>
      <c r="N225" s="94">
        <f>+F225-I225</f>
        <v>3001.15</v>
      </c>
      <c r="O225" s="95">
        <f>+I225*100/G225</f>
        <v>57.126428571428569</v>
      </c>
      <c r="Q225">
        <v>3998.85</v>
      </c>
    </row>
    <row r="226" spans="2:17" ht="15.75" customHeight="1" x14ac:dyDescent="0.25">
      <c r="B226" s="113">
        <v>612</v>
      </c>
      <c r="C226" s="99" t="s">
        <v>360</v>
      </c>
      <c r="D226" s="98">
        <v>117500</v>
      </c>
      <c r="E226" s="98">
        <v>-117500</v>
      </c>
      <c r="F226" s="98">
        <f t="shared" si="30"/>
        <v>0</v>
      </c>
      <c r="G226" s="104">
        <v>0</v>
      </c>
      <c r="H226" s="105">
        <v>0</v>
      </c>
      <c r="I226" s="264">
        <f>+Q226+H226</f>
        <v>0</v>
      </c>
      <c r="J226" s="170">
        <f t="shared" si="36"/>
        <v>0</v>
      </c>
      <c r="K226" s="105">
        <v>0</v>
      </c>
      <c r="L226" s="94" t="s">
        <v>2</v>
      </c>
      <c r="M226" s="154">
        <f t="shared" si="37"/>
        <v>0</v>
      </c>
      <c r="N226" s="94">
        <f t="shared" ref="N226" si="38">+F226-I226</f>
        <v>0</v>
      </c>
      <c r="O226" s="95" t="s">
        <v>2</v>
      </c>
      <c r="Q226">
        <v>0</v>
      </c>
    </row>
    <row r="227" spans="2:17" ht="13.5" hidden="1" x14ac:dyDescent="0.25">
      <c r="B227" s="113">
        <v>613</v>
      </c>
      <c r="C227" s="99" t="s">
        <v>325</v>
      </c>
      <c r="D227" s="98">
        <v>0</v>
      </c>
      <c r="E227" s="98"/>
      <c r="F227" s="98">
        <f t="shared" si="30"/>
        <v>0</v>
      </c>
      <c r="G227" s="104">
        <v>0</v>
      </c>
      <c r="H227" s="105"/>
      <c r="I227" s="264">
        <f>+Q227+H227</f>
        <v>0</v>
      </c>
      <c r="J227" s="170">
        <f t="shared" si="36"/>
        <v>0</v>
      </c>
      <c r="K227" s="105"/>
      <c r="L227" s="94"/>
      <c r="M227" s="154">
        <f t="shared" si="37"/>
        <v>0</v>
      </c>
      <c r="N227" s="94">
        <f t="shared" ref="N227:N247" si="39">+F227-I227</f>
        <v>0</v>
      </c>
      <c r="O227" s="95">
        <v>0</v>
      </c>
      <c r="Q227">
        <v>0</v>
      </c>
    </row>
    <row r="228" spans="2:17" ht="13.5" x14ac:dyDescent="0.25">
      <c r="B228" s="113">
        <v>614</v>
      </c>
      <c r="C228" s="99" t="s">
        <v>324</v>
      </c>
      <c r="D228" s="98">
        <v>85000</v>
      </c>
      <c r="E228" s="98">
        <f>687500</f>
        <v>687500</v>
      </c>
      <c r="F228" s="98">
        <f>+D228+E228</f>
        <v>772500</v>
      </c>
      <c r="G228" s="104">
        <v>772500</v>
      </c>
      <c r="H228" s="105">
        <v>33597</v>
      </c>
      <c r="I228" s="264">
        <f>+Q228+H228</f>
        <v>377144.39</v>
      </c>
      <c r="J228" s="170">
        <f t="shared" si="36"/>
        <v>377144.39</v>
      </c>
      <c r="K228" s="105"/>
      <c r="L228" s="94">
        <v>377144.64</v>
      </c>
      <c r="M228" s="154">
        <f t="shared" si="37"/>
        <v>395355.61</v>
      </c>
      <c r="N228" s="94">
        <f t="shared" si="39"/>
        <v>395355.61</v>
      </c>
      <c r="O228" s="95">
        <f>+I228*100/G228</f>
        <v>48.821280258899677</v>
      </c>
      <c r="Q228">
        <f>281341.75+62205.64</f>
        <v>343547.39</v>
      </c>
    </row>
    <row r="229" spans="2:17" ht="13.5" x14ac:dyDescent="0.25">
      <c r="B229" s="113">
        <v>619</v>
      </c>
      <c r="C229" s="99" t="s">
        <v>321</v>
      </c>
      <c r="D229" s="98">
        <v>16500</v>
      </c>
      <c r="E229" s="98"/>
      <c r="F229" s="98">
        <f>+D229+E229</f>
        <v>16500</v>
      </c>
      <c r="G229" s="104">
        <v>16500</v>
      </c>
      <c r="H229" s="105">
        <v>7700</v>
      </c>
      <c r="I229" s="264">
        <f>+Q229+H229</f>
        <v>10382.98</v>
      </c>
      <c r="J229" s="170">
        <f t="shared" si="36"/>
        <v>22832.98</v>
      </c>
      <c r="K229" s="105">
        <v>12450</v>
      </c>
      <c r="L229" s="94">
        <v>10382.98</v>
      </c>
      <c r="M229" s="154">
        <f t="shared" si="37"/>
        <v>6117.02</v>
      </c>
      <c r="N229" s="94">
        <f t="shared" si="39"/>
        <v>6117.02</v>
      </c>
      <c r="O229" s="95">
        <f>+I229*100/G229</f>
        <v>62.927151515151515</v>
      </c>
      <c r="Q229">
        <v>2682.98</v>
      </c>
    </row>
    <row r="230" spans="2:17" ht="13.5" customHeight="1" x14ac:dyDescent="0.2">
      <c r="B230" s="136">
        <v>620</v>
      </c>
      <c r="C230" s="110" t="s">
        <v>278</v>
      </c>
      <c r="D230" s="90">
        <f>+D231+D232</f>
        <v>257000</v>
      </c>
      <c r="E230" s="90">
        <f>+E231+E232</f>
        <v>-46800</v>
      </c>
      <c r="F230" s="90">
        <f t="shared" si="30"/>
        <v>210200</v>
      </c>
      <c r="G230" s="91">
        <f>+G231+G232</f>
        <v>208287</v>
      </c>
      <c r="H230" s="93">
        <f>+H232+H231</f>
        <v>24221</v>
      </c>
      <c r="I230" s="281">
        <f>+I232+I231</f>
        <v>133290.68</v>
      </c>
      <c r="J230" s="164">
        <f t="shared" si="36"/>
        <v>176934.68</v>
      </c>
      <c r="K230" s="93">
        <f>+K232+K231</f>
        <v>43644</v>
      </c>
      <c r="L230" s="90">
        <f>+L232+L231</f>
        <v>102366.95</v>
      </c>
      <c r="M230" s="153">
        <f t="shared" si="37"/>
        <v>74996.320000000007</v>
      </c>
      <c r="N230" s="102">
        <f t="shared" si="39"/>
        <v>76909.320000000007</v>
      </c>
      <c r="O230" s="103">
        <f>+I230*100/G230</f>
        <v>63.99375861191529</v>
      </c>
      <c r="Q230">
        <v>94283.539999999979</v>
      </c>
    </row>
    <row r="231" spans="2:17" ht="13.5" x14ac:dyDescent="0.25">
      <c r="B231" s="113" t="s">
        <v>308</v>
      </c>
      <c r="C231" s="99" t="s">
        <v>309</v>
      </c>
      <c r="D231" s="98">
        <v>111820</v>
      </c>
      <c r="E231" s="98">
        <v>-56500</v>
      </c>
      <c r="F231" s="98">
        <f t="shared" ref="F231:F246" si="40">+D231+E231</f>
        <v>55320</v>
      </c>
      <c r="G231" s="104">
        <v>55320</v>
      </c>
      <c r="H231" s="105">
        <v>14100</v>
      </c>
      <c r="I231" s="264">
        <f>+Q231+H231</f>
        <v>16200.45</v>
      </c>
      <c r="J231" s="170">
        <f t="shared" si="36"/>
        <v>41200.449999999997</v>
      </c>
      <c r="K231" s="105">
        <v>25000</v>
      </c>
      <c r="L231" s="94">
        <v>2100</v>
      </c>
      <c r="M231" s="154">
        <f t="shared" si="37"/>
        <v>39119.550000000003</v>
      </c>
      <c r="N231" s="94">
        <f t="shared" si="39"/>
        <v>39119.550000000003</v>
      </c>
      <c r="O231" s="95" t="s">
        <v>2</v>
      </c>
      <c r="Q231">
        <v>2100.4499999999998</v>
      </c>
    </row>
    <row r="232" spans="2:17" ht="13.5" x14ac:dyDescent="0.25">
      <c r="B232" s="113">
        <v>624</v>
      </c>
      <c r="C232" s="99" t="s">
        <v>279</v>
      </c>
      <c r="D232" s="98">
        <v>145180</v>
      </c>
      <c r="E232" s="98">
        <v>9700</v>
      </c>
      <c r="F232" s="98">
        <f t="shared" si="40"/>
        <v>154880</v>
      </c>
      <c r="G232" s="100">
        <v>152967</v>
      </c>
      <c r="H232" s="101">
        <v>10121</v>
      </c>
      <c r="I232" s="264">
        <f>+Q232+H232</f>
        <v>117090.23</v>
      </c>
      <c r="J232" s="170">
        <f t="shared" si="36"/>
        <v>135734.22999999998</v>
      </c>
      <c r="K232" s="101">
        <v>18644</v>
      </c>
      <c r="L232" s="98">
        <v>100266.95</v>
      </c>
      <c r="M232" s="154">
        <f t="shared" si="37"/>
        <v>35876.770000000004</v>
      </c>
      <c r="N232" s="94">
        <f t="shared" si="39"/>
        <v>37789.770000000004</v>
      </c>
      <c r="O232" s="95">
        <f>+I232*100/G232</f>
        <v>76.546072028607483</v>
      </c>
      <c r="Q232">
        <f>94283.54+12685.69</f>
        <v>106969.23</v>
      </c>
    </row>
    <row r="233" spans="2:17" ht="13.5" x14ac:dyDescent="0.25">
      <c r="B233" s="88" t="s">
        <v>280</v>
      </c>
      <c r="C233" s="89" t="s">
        <v>281</v>
      </c>
      <c r="D233" s="90">
        <f>SUM(D234)</f>
        <v>105000</v>
      </c>
      <c r="E233" s="90">
        <f>SUM(E234)</f>
        <v>-105000</v>
      </c>
      <c r="F233" s="90">
        <f t="shared" si="40"/>
        <v>0</v>
      </c>
      <c r="G233" s="91">
        <f>+G234</f>
        <v>0</v>
      </c>
      <c r="H233" s="92"/>
      <c r="I233" s="278">
        <f>+I234</f>
        <v>0</v>
      </c>
      <c r="J233" s="170">
        <f t="shared" si="36"/>
        <v>0</v>
      </c>
      <c r="K233" s="92"/>
      <c r="L233" s="90">
        <v>0</v>
      </c>
      <c r="M233" s="154">
        <f t="shared" si="37"/>
        <v>0</v>
      </c>
      <c r="N233" s="102">
        <f t="shared" si="39"/>
        <v>0</v>
      </c>
      <c r="O233" s="103" t="s">
        <v>2</v>
      </c>
      <c r="Q233">
        <v>0</v>
      </c>
    </row>
    <row r="234" spans="2:17" ht="13.5" x14ac:dyDescent="0.25">
      <c r="B234" s="108" t="s">
        <v>282</v>
      </c>
      <c r="C234" s="99" t="s">
        <v>283</v>
      </c>
      <c r="D234" s="98">
        <v>105000</v>
      </c>
      <c r="E234" s="98">
        <v>-105000</v>
      </c>
      <c r="F234" s="98">
        <f t="shared" si="40"/>
        <v>0</v>
      </c>
      <c r="G234" s="104">
        <v>0</v>
      </c>
      <c r="H234" s="105">
        <v>0</v>
      </c>
      <c r="I234" s="264">
        <f>+Q234+H234</f>
        <v>0</v>
      </c>
      <c r="J234" s="170">
        <f t="shared" si="36"/>
        <v>0</v>
      </c>
      <c r="K234" s="105">
        <v>0</v>
      </c>
      <c r="L234" s="94">
        <v>0</v>
      </c>
      <c r="M234" s="154">
        <f t="shared" si="37"/>
        <v>0</v>
      </c>
      <c r="N234" s="94">
        <f t="shared" si="39"/>
        <v>0</v>
      </c>
      <c r="O234" s="95" t="s">
        <v>2</v>
      </c>
      <c r="Q234">
        <v>0</v>
      </c>
    </row>
    <row r="235" spans="2:17" x14ac:dyDescent="0.2">
      <c r="B235" s="88" t="s">
        <v>284</v>
      </c>
      <c r="C235" s="89" t="s">
        <v>285</v>
      </c>
      <c r="D235" s="90">
        <f>SUM(D236:D239)</f>
        <v>38000</v>
      </c>
      <c r="E235" s="90">
        <f>SUM(E236:E239)</f>
        <v>37500</v>
      </c>
      <c r="F235" s="90">
        <f t="shared" si="40"/>
        <v>75500</v>
      </c>
      <c r="G235" s="106">
        <f>+G237+G239+G238</f>
        <v>75500</v>
      </c>
      <c r="H235" s="107">
        <f>SUM(H237:H239)</f>
        <v>1500</v>
      </c>
      <c r="I235" s="268">
        <f>SUM(I237:I239)</f>
        <v>4900.8999999999996</v>
      </c>
      <c r="J235" s="164">
        <f t="shared" si="36"/>
        <v>23066.9</v>
      </c>
      <c r="K235" s="268">
        <f>SUM(K237:K239)</f>
        <v>18166</v>
      </c>
      <c r="L235" s="106">
        <f>SUM(L237:L239)</f>
        <v>3900.45</v>
      </c>
      <c r="M235" s="153">
        <f t="shared" si="37"/>
        <v>70599.100000000006</v>
      </c>
      <c r="N235" s="102">
        <f t="shared" si="39"/>
        <v>70599.100000000006</v>
      </c>
      <c r="O235" s="103">
        <f t="shared" ref="O235:O242" si="41">+I235*100/G235</f>
        <v>6.4912582781456942</v>
      </c>
      <c r="Q235">
        <v>3400.45</v>
      </c>
    </row>
    <row r="236" spans="2:17" ht="13.5" hidden="1" x14ac:dyDescent="0.25">
      <c r="B236" s="96" t="s">
        <v>286</v>
      </c>
      <c r="C236" s="97" t="s">
        <v>287</v>
      </c>
      <c r="D236" s="98">
        <v>0</v>
      </c>
      <c r="E236" s="98">
        <v>0</v>
      </c>
      <c r="F236" s="98">
        <f t="shared" si="40"/>
        <v>0</v>
      </c>
      <c r="G236" s="104">
        <v>0</v>
      </c>
      <c r="H236" s="105"/>
      <c r="I236" s="264">
        <f t="shared" ref="I236:I241" si="42">+Q236+H236</f>
        <v>0</v>
      </c>
      <c r="J236" s="170">
        <f t="shared" si="36"/>
        <v>0</v>
      </c>
      <c r="K236" s="105"/>
      <c r="L236" s="94"/>
      <c r="M236" s="154">
        <f t="shared" si="37"/>
        <v>0</v>
      </c>
      <c r="N236" s="94">
        <f t="shared" si="39"/>
        <v>0</v>
      </c>
      <c r="O236" s="95" t="e">
        <f t="shared" si="41"/>
        <v>#DIV/0!</v>
      </c>
      <c r="Q236">
        <v>0</v>
      </c>
    </row>
    <row r="237" spans="2:17" ht="13.5" x14ac:dyDescent="0.25">
      <c r="B237" s="96">
        <v>662</v>
      </c>
      <c r="C237" s="97" t="s">
        <v>288</v>
      </c>
      <c r="D237" s="98">
        <v>24039</v>
      </c>
      <c r="E237" s="98">
        <v>31500</v>
      </c>
      <c r="F237" s="98">
        <f t="shared" si="40"/>
        <v>55539</v>
      </c>
      <c r="G237" s="104">
        <v>55539</v>
      </c>
      <c r="H237" s="105">
        <v>1500</v>
      </c>
      <c r="I237" s="264">
        <f t="shared" si="42"/>
        <v>3000.45</v>
      </c>
      <c r="J237" s="170">
        <f t="shared" si="36"/>
        <v>15500.45</v>
      </c>
      <c r="K237" s="105">
        <v>12500</v>
      </c>
      <c r="L237" s="94">
        <v>3000</v>
      </c>
      <c r="M237" s="154">
        <f t="shared" si="37"/>
        <v>52538.55</v>
      </c>
      <c r="N237" s="94">
        <f t="shared" si="39"/>
        <v>52538.55</v>
      </c>
      <c r="O237" s="95">
        <f t="shared" si="41"/>
        <v>5.4024199211364987</v>
      </c>
      <c r="Q237">
        <v>1500.45</v>
      </c>
    </row>
    <row r="238" spans="2:17" ht="15" customHeight="1" x14ac:dyDescent="0.25">
      <c r="B238" s="96" t="s">
        <v>289</v>
      </c>
      <c r="C238" s="97" t="s">
        <v>290</v>
      </c>
      <c r="D238" s="98"/>
      <c r="E238" s="98">
        <v>6000</v>
      </c>
      <c r="F238" s="98">
        <f t="shared" si="40"/>
        <v>6000</v>
      </c>
      <c r="G238" s="104">
        <v>6000</v>
      </c>
      <c r="H238" s="105">
        <v>0</v>
      </c>
      <c r="I238" s="264">
        <f t="shared" si="42"/>
        <v>1000.45</v>
      </c>
      <c r="J238" s="170">
        <f t="shared" si="36"/>
        <v>5485.45</v>
      </c>
      <c r="K238" s="105">
        <v>4485</v>
      </c>
      <c r="L238" s="94"/>
      <c r="M238" s="154">
        <f t="shared" si="37"/>
        <v>4999.55</v>
      </c>
      <c r="N238" s="94">
        <f t="shared" si="39"/>
        <v>4999.55</v>
      </c>
      <c r="O238" s="95">
        <f t="shared" si="41"/>
        <v>16.674166666666668</v>
      </c>
      <c r="Q238">
        <v>1000.45</v>
      </c>
    </row>
    <row r="239" spans="2:17" ht="13.5" x14ac:dyDescent="0.25">
      <c r="B239" s="96" t="s">
        <v>291</v>
      </c>
      <c r="C239" s="97" t="s">
        <v>292</v>
      </c>
      <c r="D239" s="98">
        <v>13961</v>
      </c>
      <c r="E239" s="98"/>
      <c r="F239" s="98">
        <f t="shared" si="40"/>
        <v>13961</v>
      </c>
      <c r="G239" s="104">
        <v>13961</v>
      </c>
      <c r="H239" s="105">
        <v>0</v>
      </c>
      <c r="I239" s="264">
        <f t="shared" si="42"/>
        <v>900</v>
      </c>
      <c r="J239" s="170">
        <f t="shared" si="36"/>
        <v>2081</v>
      </c>
      <c r="K239" s="105">
        <v>1181</v>
      </c>
      <c r="L239" s="94">
        <v>900.45</v>
      </c>
      <c r="M239" s="154">
        <f t="shared" si="37"/>
        <v>13061</v>
      </c>
      <c r="N239" s="94">
        <f t="shared" si="39"/>
        <v>13061</v>
      </c>
      <c r="O239" s="95">
        <f t="shared" si="41"/>
        <v>6.4465296182221907</v>
      </c>
      <c r="Q239">
        <v>900</v>
      </c>
    </row>
    <row r="240" spans="2:17" ht="21" hidden="1" customHeight="1" x14ac:dyDescent="0.25">
      <c r="B240" s="141">
        <v>690</v>
      </c>
      <c r="C240" s="102" t="s">
        <v>314</v>
      </c>
      <c r="D240" s="102">
        <f>+D241</f>
        <v>0</v>
      </c>
      <c r="E240" s="102">
        <f>+E241+E242</f>
        <v>0</v>
      </c>
      <c r="F240" s="90">
        <f t="shared" si="40"/>
        <v>0</v>
      </c>
      <c r="G240" s="106">
        <v>0</v>
      </c>
      <c r="H240" s="107">
        <f>+H241+H242</f>
        <v>0</v>
      </c>
      <c r="I240" s="281">
        <f t="shared" si="42"/>
        <v>0</v>
      </c>
      <c r="J240" s="170">
        <f t="shared" si="36"/>
        <v>0</v>
      </c>
      <c r="K240" s="107">
        <f>+K241+K242</f>
        <v>0</v>
      </c>
      <c r="L240" s="102">
        <f>+L241</f>
        <v>0</v>
      </c>
      <c r="M240" s="154">
        <f t="shared" si="37"/>
        <v>0</v>
      </c>
      <c r="N240" s="102">
        <f t="shared" si="39"/>
        <v>0</v>
      </c>
      <c r="O240" s="95" t="e">
        <f t="shared" si="41"/>
        <v>#DIV/0!</v>
      </c>
      <c r="Q240">
        <v>0</v>
      </c>
    </row>
    <row r="241" spans="1:17" ht="15" hidden="1" customHeight="1" x14ac:dyDescent="0.25">
      <c r="B241" s="137">
        <v>693</v>
      </c>
      <c r="C241" s="142" t="s">
        <v>356</v>
      </c>
      <c r="D241" s="94"/>
      <c r="E241" s="94"/>
      <c r="F241" s="98">
        <f t="shared" si="40"/>
        <v>0</v>
      </c>
      <c r="G241" s="104">
        <v>0</v>
      </c>
      <c r="H241" s="105">
        <v>0</v>
      </c>
      <c r="I241" s="264">
        <f t="shared" si="42"/>
        <v>0</v>
      </c>
      <c r="J241" s="170">
        <f t="shared" si="36"/>
        <v>0</v>
      </c>
      <c r="K241" s="105">
        <v>0</v>
      </c>
      <c r="L241" s="94">
        <v>0</v>
      </c>
      <c r="M241" s="154">
        <f t="shared" si="37"/>
        <v>0</v>
      </c>
      <c r="N241" s="94">
        <f t="shared" si="39"/>
        <v>0</v>
      </c>
      <c r="O241" s="95" t="e">
        <f t="shared" si="41"/>
        <v>#DIV/0!</v>
      </c>
      <c r="Q241">
        <v>0</v>
      </c>
    </row>
    <row r="242" spans="1:17" ht="0.75" customHeight="1" x14ac:dyDescent="0.25">
      <c r="B242" s="137">
        <v>697</v>
      </c>
      <c r="C242" s="142" t="s">
        <v>328</v>
      </c>
      <c r="D242" s="94"/>
      <c r="E242" s="94"/>
      <c r="F242" s="98">
        <f t="shared" si="40"/>
        <v>0</v>
      </c>
      <c r="G242" s="104">
        <v>8000</v>
      </c>
      <c r="H242" s="105">
        <v>0</v>
      </c>
      <c r="I242" s="264" t="s">
        <v>2</v>
      </c>
      <c r="J242" s="170" t="e">
        <f t="shared" si="36"/>
        <v>#VALUE!</v>
      </c>
      <c r="K242" s="105">
        <v>0</v>
      </c>
      <c r="L242" s="94"/>
      <c r="M242" s="154" t="e">
        <f t="shared" si="37"/>
        <v>#VALUE!</v>
      </c>
      <c r="N242" s="94" t="e">
        <f t="shared" si="39"/>
        <v>#VALUE!</v>
      </c>
      <c r="O242" s="95" t="e">
        <f t="shared" si="41"/>
        <v>#VALUE!</v>
      </c>
      <c r="Q242">
        <v>0</v>
      </c>
    </row>
    <row r="243" spans="1:17" ht="17.25" customHeight="1" x14ac:dyDescent="0.25">
      <c r="B243" s="141">
        <v>8</v>
      </c>
      <c r="C243" s="102" t="s">
        <v>318</v>
      </c>
      <c r="D243" s="102">
        <f>SUM(D245:D246)</f>
        <v>10000</v>
      </c>
      <c r="E243" s="102">
        <f>SUM(E244:E246)</f>
        <v>-10000</v>
      </c>
      <c r="F243" s="102">
        <f>SUM(F244:F246)</f>
        <v>0</v>
      </c>
      <c r="G243" s="138">
        <f>+G245</f>
        <v>0</v>
      </c>
      <c r="H243" s="143">
        <f>SUM(H244:H246)</f>
        <v>0</v>
      </c>
      <c r="I243" s="281">
        <f>+H243+Q243</f>
        <v>0</v>
      </c>
      <c r="J243" s="170">
        <f t="shared" si="36"/>
        <v>0</v>
      </c>
      <c r="K243" s="143">
        <f>SUM(K244:K246)</f>
        <v>0</v>
      </c>
      <c r="L243" s="102">
        <f>SUM(L244:L246)</f>
        <v>0</v>
      </c>
      <c r="M243" s="154">
        <f t="shared" si="37"/>
        <v>0</v>
      </c>
      <c r="N243" s="102">
        <f t="shared" si="39"/>
        <v>0</v>
      </c>
      <c r="O243" s="103">
        <v>0</v>
      </c>
      <c r="Q243">
        <v>0</v>
      </c>
    </row>
    <row r="244" spans="1:17" ht="1.5" customHeight="1" x14ac:dyDescent="0.25">
      <c r="B244" s="137">
        <v>805</v>
      </c>
      <c r="C244" s="94" t="s">
        <v>335</v>
      </c>
      <c r="D244" s="102"/>
      <c r="E244" s="94"/>
      <c r="F244" s="98">
        <f t="shared" si="40"/>
        <v>0</v>
      </c>
      <c r="G244" s="144">
        <v>0</v>
      </c>
      <c r="H244" s="105">
        <v>0</v>
      </c>
      <c r="I244" s="264">
        <f>+Q244+H244</f>
        <v>0</v>
      </c>
      <c r="J244" s="170">
        <f t="shared" si="36"/>
        <v>0</v>
      </c>
      <c r="K244" s="105">
        <v>0</v>
      </c>
      <c r="L244" s="94"/>
      <c r="M244" s="154">
        <f t="shared" si="37"/>
        <v>0</v>
      </c>
      <c r="N244" s="94">
        <f t="shared" si="39"/>
        <v>0</v>
      </c>
      <c r="O244" s="95">
        <v>0</v>
      </c>
      <c r="Q244">
        <v>0</v>
      </c>
    </row>
    <row r="245" spans="1:17" ht="20.25" customHeight="1" x14ac:dyDescent="0.25">
      <c r="B245" s="137">
        <v>806</v>
      </c>
      <c r="C245" s="94" t="s">
        <v>326</v>
      </c>
      <c r="D245" s="94">
        <v>10000</v>
      </c>
      <c r="E245" s="94">
        <v>-10000</v>
      </c>
      <c r="F245" s="98">
        <f t="shared" si="40"/>
        <v>0</v>
      </c>
      <c r="G245" s="144">
        <v>0</v>
      </c>
      <c r="H245" s="105"/>
      <c r="I245" s="264">
        <f>+Q245+H245</f>
        <v>0</v>
      </c>
      <c r="J245" s="170">
        <f t="shared" si="36"/>
        <v>0</v>
      </c>
      <c r="K245" s="105"/>
      <c r="L245" s="94"/>
      <c r="M245" s="154">
        <f t="shared" si="37"/>
        <v>0</v>
      </c>
      <c r="N245" s="94">
        <f t="shared" si="39"/>
        <v>0</v>
      </c>
      <c r="O245" s="103">
        <v>0</v>
      </c>
      <c r="Q245">
        <v>0</v>
      </c>
    </row>
    <row r="246" spans="1:17" ht="21" hidden="1" customHeight="1" x14ac:dyDescent="0.25">
      <c r="B246" s="137">
        <v>809</v>
      </c>
      <c r="C246" s="94" t="s">
        <v>319</v>
      </c>
      <c r="D246" s="94"/>
      <c r="E246" s="94"/>
      <c r="F246" s="98">
        <f t="shared" si="40"/>
        <v>0</v>
      </c>
      <c r="G246" s="144">
        <v>0</v>
      </c>
      <c r="H246" s="105">
        <v>0</v>
      </c>
      <c r="I246" s="264">
        <f>+H246+Q246</f>
        <v>0</v>
      </c>
      <c r="J246" s="184"/>
      <c r="K246" s="105">
        <v>0</v>
      </c>
      <c r="L246" s="94"/>
      <c r="M246" s="154">
        <f t="shared" si="37"/>
        <v>0</v>
      </c>
      <c r="N246" s="94">
        <f t="shared" si="39"/>
        <v>0</v>
      </c>
      <c r="O246" s="95" t="e">
        <f>+I246*100/G246</f>
        <v>#DIV/0!</v>
      </c>
      <c r="Q246">
        <v>0</v>
      </c>
    </row>
    <row r="247" spans="1:17" ht="24" customHeight="1" x14ac:dyDescent="0.25">
      <c r="A247" s="145"/>
      <c r="B247" s="146" t="s">
        <v>2</v>
      </c>
      <c r="C247" s="147" t="s">
        <v>293</v>
      </c>
      <c r="D247" s="148">
        <f t="shared" ref="D247:L247" si="43">+D243+D221+D215+D183+D106+D37+D10</f>
        <v>101690300</v>
      </c>
      <c r="E247" s="148">
        <f t="shared" si="43"/>
        <v>-6551071</v>
      </c>
      <c r="F247" s="148">
        <f t="shared" si="43"/>
        <v>95139229</v>
      </c>
      <c r="G247" s="148">
        <f t="shared" si="43"/>
        <v>87073059</v>
      </c>
      <c r="H247" s="149">
        <f t="shared" si="43"/>
        <v>9243403.5800000001</v>
      </c>
      <c r="I247" s="148">
        <f t="shared" si="43"/>
        <v>81554787.523000017</v>
      </c>
      <c r="J247" s="148">
        <f t="shared" si="43"/>
        <v>84004705.433000028</v>
      </c>
      <c r="K247" s="149">
        <f t="shared" si="43"/>
        <v>2449917.91</v>
      </c>
      <c r="L247" s="149">
        <f t="shared" si="43"/>
        <v>77826242.660000011</v>
      </c>
      <c r="M247" s="277">
        <f t="shared" si="37"/>
        <v>5518271.4769999832</v>
      </c>
      <c r="N247" s="150">
        <f t="shared" si="39"/>
        <v>13584441.476999983</v>
      </c>
      <c r="O247" s="151">
        <f>+I247*100/G247</f>
        <v>93.662481207878571</v>
      </c>
      <c r="Q247" s="148">
        <v>71104242.943000019</v>
      </c>
    </row>
    <row r="250" spans="1:17" x14ac:dyDescent="0.2">
      <c r="K250" s="86">
        <v>2370533</v>
      </c>
      <c r="L250" s="267" t="s">
        <v>2</v>
      </c>
    </row>
    <row r="252" spans="1:17" x14ac:dyDescent="0.2">
      <c r="F252" s="152" t="s">
        <v>2</v>
      </c>
      <c r="K252" s="152">
        <f>K247-K250</f>
        <v>79384.910000000149</v>
      </c>
    </row>
  </sheetData>
  <mergeCells count="64">
    <mergeCell ref="M212:N213"/>
    <mergeCell ref="O212:O214"/>
    <mergeCell ref="B212:C214"/>
    <mergeCell ref="D212:G213"/>
    <mergeCell ref="H212:I213"/>
    <mergeCell ref="J212:K213"/>
    <mergeCell ref="L212:L214"/>
    <mergeCell ref="M67:N68"/>
    <mergeCell ref="O67:O69"/>
    <mergeCell ref="B137:C139"/>
    <mergeCell ref="D137:G138"/>
    <mergeCell ref="H137:I138"/>
    <mergeCell ref="J137:K138"/>
    <mergeCell ref="L137:L139"/>
    <mergeCell ref="M137:N138"/>
    <mergeCell ref="O137:O139"/>
    <mergeCell ref="B67:C69"/>
    <mergeCell ref="D67:G68"/>
    <mergeCell ref="H67:I68"/>
    <mergeCell ref="J67:K68"/>
    <mergeCell ref="L67:L69"/>
    <mergeCell ref="J126:K127"/>
    <mergeCell ref="B58:O58"/>
    <mergeCell ref="B59:O59"/>
    <mergeCell ref="B62:C64"/>
    <mergeCell ref="D62:G63"/>
    <mergeCell ref="H62:I63"/>
    <mergeCell ref="L62:L64"/>
    <mergeCell ref="M62:N63"/>
    <mergeCell ref="O62:O64"/>
    <mergeCell ref="J62:K63"/>
    <mergeCell ref="B3:O3"/>
    <mergeCell ref="B4:O4"/>
    <mergeCell ref="B7:C9"/>
    <mergeCell ref="D7:G8"/>
    <mergeCell ref="H7:I8"/>
    <mergeCell ref="L7:L9"/>
    <mergeCell ref="M7:N8"/>
    <mergeCell ref="O7:O9"/>
    <mergeCell ref="J7:K8"/>
    <mergeCell ref="O126:O128"/>
    <mergeCell ref="O207:O209"/>
    <mergeCell ref="B207:C209"/>
    <mergeCell ref="D207:G208"/>
    <mergeCell ref="H207:I208"/>
    <mergeCell ref="L207:L209"/>
    <mergeCell ref="M207:N208"/>
    <mergeCell ref="J207:K208"/>
    <mergeCell ref="B2:O2"/>
    <mergeCell ref="B211:O211"/>
    <mergeCell ref="B65:O65"/>
    <mergeCell ref="B66:O66"/>
    <mergeCell ref="B135:O135"/>
    <mergeCell ref="B136:O136"/>
    <mergeCell ref="B210:O210"/>
    <mergeCell ref="B205:O205"/>
    <mergeCell ref="B206:O206"/>
    <mergeCell ref="B124:O124"/>
    <mergeCell ref="B125:O125"/>
    <mergeCell ref="B126:C128"/>
    <mergeCell ref="D126:G127"/>
    <mergeCell ref="H126:I127"/>
    <mergeCell ref="L126:L128"/>
    <mergeCell ref="M126:N127"/>
  </mergeCells>
  <pageMargins left="0.31496062992125984" right="0.31496062992125984" top="0.55118110236220474" bottom="0.55118110236220474" header="0.31496062992125984" footer="0.31496062992125984"/>
  <pageSetup scale="84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rgb="FFFFC000"/>
  </sheetPr>
  <dimension ref="A1:U444"/>
  <sheetViews>
    <sheetView showGridLines="0" showZeros="0" workbookViewId="0">
      <selection sqref="A1:L1"/>
    </sheetView>
  </sheetViews>
  <sheetFormatPr baseColWidth="10" defaultColWidth="11.42578125" defaultRowHeight="13.5" x14ac:dyDescent="0.25"/>
  <cols>
    <col min="1" max="1" width="4.42578125" customWidth="1"/>
    <col min="2" max="2" width="43" customWidth="1"/>
    <col min="3" max="3" width="14.7109375" hidden="1" customWidth="1"/>
    <col min="4" max="4" width="12.7109375" hidden="1" customWidth="1"/>
    <col min="5" max="5" width="15.85546875" customWidth="1"/>
    <col min="6" max="6" width="13.42578125" customWidth="1"/>
    <col min="7" max="7" width="12.7109375" style="1" hidden="1" customWidth="1"/>
    <col min="8" max="8" width="16.28515625" style="1" hidden="1" customWidth="1"/>
    <col min="9" max="9" width="16.42578125" hidden="1" customWidth="1"/>
    <col min="10" max="10" width="17" hidden="1" customWidth="1"/>
    <col min="11" max="11" width="14" customWidth="1"/>
    <col min="12" max="12" width="12.140625" customWidth="1"/>
    <col min="13" max="13" width="11.28515625" hidden="1" customWidth="1"/>
    <col min="14" max="14" width="7" style="25" hidden="1" customWidth="1"/>
    <col min="15" max="15" width="8.42578125" customWidth="1"/>
    <col min="16" max="16" width="9.28515625" customWidth="1"/>
  </cols>
  <sheetData>
    <row r="1" spans="1:16" x14ac:dyDescent="0.25">
      <c r="A1" s="330" t="s">
        <v>419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</row>
    <row r="2" spans="1:16" ht="12.75" x14ac:dyDescent="0.2">
      <c r="A2" s="329" t="s">
        <v>418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</row>
    <row r="3" spans="1:16" ht="12.75" x14ac:dyDescent="0.2">
      <c r="A3" s="329" t="s">
        <v>411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</row>
    <row r="4" spans="1:16" ht="2.25" customHeight="1" x14ac:dyDescent="0.2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</row>
    <row r="5" spans="1:16" ht="3" customHeight="1" x14ac:dyDescent="0.2">
      <c r="A5" s="185"/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</row>
    <row r="6" spans="1:16" ht="8.25" customHeight="1" x14ac:dyDescent="0.2">
      <c r="A6" s="185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</row>
    <row r="7" spans="1:16" ht="16.5" customHeight="1" x14ac:dyDescent="0.2">
      <c r="A7" s="269"/>
      <c r="B7" s="271" t="s">
        <v>401</v>
      </c>
      <c r="C7" s="269"/>
      <c r="D7" s="269"/>
      <c r="E7" s="271" t="s">
        <v>4</v>
      </c>
      <c r="F7" s="271" t="s">
        <v>1</v>
      </c>
      <c r="G7" s="270"/>
      <c r="H7" s="270"/>
      <c r="I7" s="270"/>
      <c r="J7" s="270"/>
      <c r="K7" s="271" t="s">
        <v>399</v>
      </c>
      <c r="L7" s="271" t="s">
        <v>402</v>
      </c>
      <c r="M7" s="185"/>
      <c r="N7" s="185"/>
    </row>
    <row r="8" spans="1:16" ht="13.5" customHeight="1" x14ac:dyDescent="0.2">
      <c r="A8" s="272"/>
      <c r="B8" s="272"/>
      <c r="C8" s="272"/>
      <c r="D8" s="272"/>
      <c r="E8" s="274"/>
      <c r="F8" s="274"/>
      <c r="G8" s="273"/>
      <c r="H8" s="273"/>
      <c r="I8" s="273"/>
      <c r="J8" s="273"/>
      <c r="K8" s="274" t="s">
        <v>2</v>
      </c>
      <c r="L8" s="274" t="s">
        <v>15</v>
      </c>
      <c r="M8" s="185"/>
      <c r="N8" s="185"/>
    </row>
    <row r="9" spans="1:16" ht="23.25" customHeight="1" x14ac:dyDescent="0.2">
      <c r="A9" s="186" t="s">
        <v>52</v>
      </c>
      <c r="B9" s="187" t="s">
        <v>53</v>
      </c>
      <c r="C9" s="188">
        <f>+C10+C12+C13</f>
        <v>102713</v>
      </c>
      <c r="D9" s="188">
        <f>+D10+D12</f>
        <v>235750</v>
      </c>
      <c r="E9" s="188">
        <f>+E10+E12+E13</f>
        <v>75858</v>
      </c>
      <c r="F9" s="188">
        <f t="shared" ref="F9:L9" si="0">+F10+F12+F13</f>
        <v>74574</v>
      </c>
      <c r="G9" s="188">
        <f t="shared" si="0"/>
        <v>0</v>
      </c>
      <c r="H9" s="188">
        <v>0</v>
      </c>
      <c r="I9" s="188">
        <f t="shared" si="0"/>
        <v>38669.199999999997</v>
      </c>
      <c r="J9" s="188">
        <f t="shared" si="0"/>
        <v>0</v>
      </c>
      <c r="K9" s="188">
        <f t="shared" ref="K9" si="1">+K10+K12+K13</f>
        <v>42053.45</v>
      </c>
      <c r="L9" s="188">
        <f t="shared" si="0"/>
        <v>32520.550000000003</v>
      </c>
      <c r="M9" s="189">
        <f t="shared" ref="M9" si="2">+M10+M12</f>
        <v>34454.800000000003</v>
      </c>
      <c r="N9" s="190">
        <f>+I9*100/E9</f>
        <v>50.975770518600534</v>
      </c>
      <c r="O9" s="10"/>
      <c r="P9">
        <v>0</v>
      </c>
    </row>
    <row r="10" spans="1:16" ht="12.75" x14ac:dyDescent="0.2">
      <c r="A10" s="186" t="s">
        <v>54</v>
      </c>
      <c r="B10" s="187" t="s">
        <v>55</v>
      </c>
      <c r="C10" s="188">
        <f>SUM(C11:C11)</f>
        <v>85200</v>
      </c>
      <c r="D10" s="188">
        <f>SUM(D11:D11)</f>
        <v>203614</v>
      </c>
      <c r="E10" s="188">
        <f>SUM(E11:E11)</f>
        <v>71840</v>
      </c>
      <c r="F10" s="188">
        <f>+F11</f>
        <v>71840</v>
      </c>
      <c r="G10" s="188">
        <f>SUM(G11:G11)</f>
        <v>0</v>
      </c>
      <c r="H10" s="188">
        <f>+H11</f>
        <v>0</v>
      </c>
      <c r="I10" s="188">
        <f>SUM(I11:I11)</f>
        <v>38669.199999999997</v>
      </c>
      <c r="J10" s="188">
        <f>SUM(J11:J11)</f>
        <v>0</v>
      </c>
      <c r="K10" s="188">
        <f>+K11</f>
        <v>42053.45</v>
      </c>
      <c r="L10" s="188">
        <f>+L11</f>
        <v>29786.550000000003</v>
      </c>
      <c r="M10" s="191">
        <f t="shared" ref="M10:M91" si="3">+E10-I10</f>
        <v>33170.800000000003</v>
      </c>
      <c r="N10" s="192">
        <f t="shared" ref="N10:N96" si="4">+I10*100/E10</f>
        <v>53.826837416481062</v>
      </c>
      <c r="P10">
        <v>0</v>
      </c>
    </row>
    <row r="11" spans="1:16" ht="12.75" x14ac:dyDescent="0.2">
      <c r="A11" s="193" t="s">
        <v>339</v>
      </c>
      <c r="B11" s="194" t="s">
        <v>340</v>
      </c>
      <c r="C11" s="195">
        <v>85200</v>
      </c>
      <c r="D11" s="196">
        <v>203614</v>
      </c>
      <c r="E11" s="195">
        <v>71840</v>
      </c>
      <c r="F11" s="195">
        <v>71840</v>
      </c>
      <c r="G11" s="195">
        <v>0</v>
      </c>
      <c r="H11" s="195">
        <v>0</v>
      </c>
      <c r="I11" s="197">
        <v>38669.199999999997</v>
      </c>
      <c r="J11" s="195">
        <v>0</v>
      </c>
      <c r="K11" s="195">
        <v>42053.45</v>
      </c>
      <c r="L11" s="195">
        <f>+F11-K11</f>
        <v>29786.550000000003</v>
      </c>
      <c r="M11" s="191">
        <f t="shared" si="3"/>
        <v>33170.800000000003</v>
      </c>
      <c r="N11" s="192">
        <f t="shared" si="4"/>
        <v>53.826837416481062</v>
      </c>
      <c r="P11">
        <v>0</v>
      </c>
    </row>
    <row r="12" spans="1:16" ht="13.5" customHeight="1" x14ac:dyDescent="0.2">
      <c r="A12" s="224" t="s">
        <v>71</v>
      </c>
      <c r="B12" s="187" t="s">
        <v>361</v>
      </c>
      <c r="C12" s="188">
        <v>3850</v>
      </c>
      <c r="D12" s="188">
        <f>SUM(D13:D13)</f>
        <v>32136</v>
      </c>
      <c r="E12" s="188">
        <v>1284</v>
      </c>
      <c r="F12" s="188">
        <v>0</v>
      </c>
      <c r="G12" s="188">
        <f>SUM(G13:G13)</f>
        <v>0</v>
      </c>
      <c r="H12" s="188">
        <v>0</v>
      </c>
      <c r="I12" s="188">
        <f>SUM(I13:I13)</f>
        <v>0</v>
      </c>
      <c r="J12" s="188">
        <f>SUM(J13:J13)</f>
        <v>0</v>
      </c>
      <c r="K12" s="188">
        <f t="shared" ref="K12:K58" si="5">+I12+H12</f>
        <v>0</v>
      </c>
      <c r="L12" s="195">
        <f t="shared" ref="L12:L75" si="6">+F12-K12</f>
        <v>0</v>
      </c>
      <c r="M12" s="198">
        <f t="shared" si="3"/>
        <v>1284</v>
      </c>
      <c r="N12" s="192">
        <f t="shared" si="4"/>
        <v>0</v>
      </c>
      <c r="O12" s="11"/>
      <c r="P12">
        <v>0</v>
      </c>
    </row>
    <row r="13" spans="1:16" ht="21" customHeight="1" x14ac:dyDescent="0.2">
      <c r="A13" s="224" t="s">
        <v>73</v>
      </c>
      <c r="B13" s="201" t="s">
        <v>362</v>
      </c>
      <c r="C13" s="188">
        <f>SUM(C14:C17)</f>
        <v>13663</v>
      </c>
      <c r="D13" s="188">
        <v>32136</v>
      </c>
      <c r="E13" s="188">
        <f>SUM(E14:E17)</f>
        <v>2734</v>
      </c>
      <c r="F13" s="188">
        <f t="shared" ref="F13:J13" si="7">SUM(F14:F17)</f>
        <v>2734</v>
      </c>
      <c r="G13" s="188">
        <f t="shared" si="7"/>
        <v>0</v>
      </c>
      <c r="H13" s="188">
        <f t="shared" ref="H13" si="8">SUM(H14:H17)</f>
        <v>0</v>
      </c>
      <c r="I13" s="188">
        <f t="shared" si="7"/>
        <v>0</v>
      </c>
      <c r="J13" s="188">
        <f t="shared" si="7"/>
        <v>0</v>
      </c>
      <c r="K13" s="188">
        <f t="shared" si="5"/>
        <v>0</v>
      </c>
      <c r="L13" s="195">
        <f t="shared" si="6"/>
        <v>2734</v>
      </c>
      <c r="M13" s="191">
        <f t="shared" si="3"/>
        <v>2734</v>
      </c>
      <c r="N13" s="192">
        <f t="shared" si="4"/>
        <v>0</v>
      </c>
      <c r="O13" s="11"/>
      <c r="P13">
        <v>0</v>
      </c>
    </row>
    <row r="14" spans="1:16" ht="15" customHeight="1" x14ac:dyDescent="0.2">
      <c r="A14" s="193" t="s">
        <v>75</v>
      </c>
      <c r="B14" s="196" t="s">
        <v>372</v>
      </c>
      <c r="C14" s="195">
        <v>10851</v>
      </c>
      <c r="D14" s="195"/>
      <c r="E14" s="195">
        <v>2171</v>
      </c>
      <c r="F14" s="195">
        <v>2171</v>
      </c>
      <c r="G14" s="195"/>
      <c r="H14" s="195"/>
      <c r="I14" s="195"/>
      <c r="J14" s="195"/>
      <c r="K14" s="188">
        <f t="shared" si="5"/>
        <v>0</v>
      </c>
      <c r="L14" s="195">
        <f t="shared" si="6"/>
        <v>2171</v>
      </c>
      <c r="M14" s="191"/>
      <c r="N14" s="192"/>
      <c r="O14" s="11"/>
    </row>
    <row r="15" spans="1:16" ht="13.5" customHeight="1" x14ac:dyDescent="0.2">
      <c r="A15" s="193" t="s">
        <v>77</v>
      </c>
      <c r="B15" s="196" t="s">
        <v>363</v>
      </c>
      <c r="C15" s="195">
        <v>1278</v>
      </c>
      <c r="D15" s="195"/>
      <c r="E15" s="195">
        <v>256</v>
      </c>
      <c r="F15" s="195">
        <v>256</v>
      </c>
      <c r="G15" s="195"/>
      <c r="H15" s="195"/>
      <c r="I15" s="197"/>
      <c r="J15" s="197"/>
      <c r="K15" s="188">
        <f t="shared" si="5"/>
        <v>0</v>
      </c>
      <c r="L15" s="195">
        <f t="shared" si="6"/>
        <v>256</v>
      </c>
      <c r="M15" s="191"/>
      <c r="N15" s="192"/>
      <c r="O15" s="11"/>
    </row>
    <row r="16" spans="1:16" ht="13.5" customHeight="1" x14ac:dyDescent="0.2">
      <c r="A16" s="193" t="s">
        <v>79</v>
      </c>
      <c r="B16" s="196" t="s">
        <v>364</v>
      </c>
      <c r="C16" s="195">
        <v>1278</v>
      </c>
      <c r="D16" s="195"/>
      <c r="E16" s="195">
        <v>256</v>
      </c>
      <c r="F16" s="195">
        <v>256</v>
      </c>
      <c r="G16" s="195"/>
      <c r="H16" s="195"/>
      <c r="I16" s="197"/>
      <c r="J16" s="197"/>
      <c r="K16" s="188">
        <f t="shared" si="5"/>
        <v>0</v>
      </c>
      <c r="L16" s="195">
        <f t="shared" si="6"/>
        <v>256</v>
      </c>
      <c r="M16" s="191"/>
      <c r="N16" s="192"/>
      <c r="O16" s="11"/>
    </row>
    <row r="17" spans="1:21" ht="13.5" customHeight="1" x14ac:dyDescent="0.2">
      <c r="A17" s="193" t="s">
        <v>81</v>
      </c>
      <c r="B17" s="196" t="s">
        <v>365</v>
      </c>
      <c r="C17" s="195">
        <v>256</v>
      </c>
      <c r="D17" s="195"/>
      <c r="E17" s="195">
        <v>51</v>
      </c>
      <c r="F17" s="195">
        <v>51</v>
      </c>
      <c r="G17" s="195"/>
      <c r="H17" s="195"/>
      <c r="I17" s="197"/>
      <c r="J17" s="197"/>
      <c r="K17" s="188">
        <f t="shared" si="5"/>
        <v>0</v>
      </c>
      <c r="L17" s="195">
        <f t="shared" si="6"/>
        <v>51</v>
      </c>
      <c r="M17" s="191"/>
      <c r="N17" s="192"/>
      <c r="O17" s="11"/>
    </row>
    <row r="18" spans="1:21" ht="18.75" customHeight="1" x14ac:dyDescent="0.2">
      <c r="A18" s="186" t="s">
        <v>90</v>
      </c>
      <c r="B18" s="187" t="s">
        <v>91</v>
      </c>
      <c r="C18" s="188">
        <f t="shared" ref="C18:J18" si="9">+C19+C21+C23+C26+C28</f>
        <v>628424</v>
      </c>
      <c r="D18" s="188">
        <f t="shared" si="9"/>
        <v>25326</v>
      </c>
      <c r="E18" s="188">
        <f>+E19+E23+E28</f>
        <v>421346.8</v>
      </c>
      <c r="F18" s="188">
        <f>+F19+F21+F23+F26+F28</f>
        <v>421346.8</v>
      </c>
      <c r="G18" s="188">
        <f>+G19+G21+G23+G26+G28</f>
        <v>0</v>
      </c>
      <c r="H18" s="188">
        <f>+H19+H21+H23+H26+H28</f>
        <v>89159.75</v>
      </c>
      <c r="I18" s="188">
        <f>+I19+I21+I23+I26+I28</f>
        <v>13615.45</v>
      </c>
      <c r="J18" s="188">
        <f t="shared" si="9"/>
        <v>0</v>
      </c>
      <c r="K18" s="188">
        <f>+K19+K21+K23+K26+K28</f>
        <v>138167.74</v>
      </c>
      <c r="L18" s="188">
        <f t="shared" si="6"/>
        <v>283179.06</v>
      </c>
      <c r="M18" s="189">
        <f>+M19+M21+M23+M26+M28</f>
        <v>189399.55</v>
      </c>
      <c r="N18" s="192">
        <f t="shared" si="4"/>
        <v>3.2314117491814347</v>
      </c>
      <c r="O18" s="11"/>
    </row>
    <row r="19" spans="1:21" ht="12.75" customHeight="1" x14ac:dyDescent="0.2">
      <c r="A19" s="200" t="s">
        <v>124</v>
      </c>
      <c r="B19" s="201" t="s">
        <v>125</v>
      </c>
      <c r="C19" s="188">
        <f>SUM(C20:C20)</f>
        <v>1500</v>
      </c>
      <c r="D19" s="188">
        <f>SUM(D20:D20)</f>
        <v>10908</v>
      </c>
      <c r="E19" s="188">
        <f>SUM(E20:E20)</f>
        <v>3000</v>
      </c>
      <c r="F19" s="188">
        <f>+F20</f>
        <v>3000</v>
      </c>
      <c r="G19" s="188">
        <f>SUM(G20:G20)</f>
        <v>0</v>
      </c>
      <c r="H19" s="188">
        <f>+H20</f>
        <v>450</v>
      </c>
      <c r="I19" s="188">
        <f>SUM(I20:I20)</f>
        <v>0</v>
      </c>
      <c r="J19" s="188">
        <f>SUM(J20:J20)</f>
        <v>0</v>
      </c>
      <c r="K19" s="188">
        <v>0</v>
      </c>
      <c r="L19" s="195">
        <f t="shared" si="6"/>
        <v>3000</v>
      </c>
      <c r="M19" s="198">
        <f t="shared" si="3"/>
        <v>3000</v>
      </c>
      <c r="N19" s="192">
        <f t="shared" si="4"/>
        <v>0</v>
      </c>
      <c r="O19" s="11"/>
    </row>
    <row r="20" spans="1:21" ht="15.75" customHeight="1" x14ac:dyDescent="0.2">
      <c r="A20" s="202" t="s">
        <v>126</v>
      </c>
      <c r="B20" s="196" t="s">
        <v>127</v>
      </c>
      <c r="C20" s="195">
        <v>1500</v>
      </c>
      <c r="D20" s="195">
        <v>10908</v>
      </c>
      <c r="E20" s="195">
        <v>3000</v>
      </c>
      <c r="F20" s="195">
        <v>3000</v>
      </c>
      <c r="G20" s="195">
        <v>0</v>
      </c>
      <c r="H20" s="195">
        <v>450</v>
      </c>
      <c r="I20" s="197">
        <f>+P20+G20</f>
        <v>0</v>
      </c>
      <c r="J20" s="195">
        <v>0</v>
      </c>
      <c r="K20" s="195">
        <v>0</v>
      </c>
      <c r="L20" s="195">
        <f t="shared" si="6"/>
        <v>3000</v>
      </c>
      <c r="M20" s="191">
        <f t="shared" si="3"/>
        <v>3000</v>
      </c>
      <c r="N20" s="192">
        <f t="shared" si="4"/>
        <v>0</v>
      </c>
      <c r="O20" s="11"/>
    </row>
    <row r="21" spans="1:21" ht="13.5" hidden="1" customHeight="1" x14ac:dyDescent="0.2">
      <c r="A21" s="200" t="s">
        <v>131</v>
      </c>
      <c r="B21" s="201" t="s">
        <v>132</v>
      </c>
      <c r="C21" s="188">
        <f>SUM(C22:C22)</f>
        <v>0</v>
      </c>
      <c r="D21" s="188">
        <f>SUM(D22:D22)</f>
        <v>9200</v>
      </c>
      <c r="E21" s="188">
        <f>SUM(E22:E22)</f>
        <v>2100</v>
      </c>
      <c r="F21" s="188">
        <f>+F22</f>
        <v>0</v>
      </c>
      <c r="G21" s="188">
        <f>SUM(G22:G22)</f>
        <v>0</v>
      </c>
      <c r="H21" s="188">
        <f>+H22</f>
        <v>0</v>
      </c>
      <c r="I21" s="188">
        <f>SUM(I22:I22)</f>
        <v>0</v>
      </c>
      <c r="J21" s="188">
        <f>SUM(J22:J22)</f>
        <v>0</v>
      </c>
      <c r="K21" s="188">
        <f t="shared" si="5"/>
        <v>0</v>
      </c>
      <c r="L21" s="195">
        <f t="shared" si="6"/>
        <v>0</v>
      </c>
      <c r="M21" s="198">
        <f t="shared" si="3"/>
        <v>2100</v>
      </c>
      <c r="N21" s="192">
        <f t="shared" si="4"/>
        <v>0</v>
      </c>
      <c r="O21" s="10"/>
      <c r="P21">
        <v>0</v>
      </c>
    </row>
    <row r="22" spans="1:21" ht="15.75" hidden="1" customHeight="1" x14ac:dyDescent="0.2">
      <c r="A22" s="202" t="s">
        <v>133</v>
      </c>
      <c r="B22" s="196" t="s">
        <v>127</v>
      </c>
      <c r="C22" s="195">
        <v>0</v>
      </c>
      <c r="D22" s="195">
        <v>9200</v>
      </c>
      <c r="E22" s="195">
        <v>2100</v>
      </c>
      <c r="F22" s="195">
        <v>0</v>
      </c>
      <c r="G22" s="195">
        <v>0</v>
      </c>
      <c r="H22" s="195">
        <v>0</v>
      </c>
      <c r="I22" s="197">
        <f>+P22+G22</f>
        <v>0</v>
      </c>
      <c r="J22" s="195">
        <v>0</v>
      </c>
      <c r="K22" s="188">
        <f t="shared" si="5"/>
        <v>0</v>
      </c>
      <c r="L22" s="195">
        <f t="shared" si="6"/>
        <v>0</v>
      </c>
      <c r="M22" s="191">
        <f t="shared" si="3"/>
        <v>2100</v>
      </c>
      <c r="N22" s="192">
        <f t="shared" si="4"/>
        <v>0</v>
      </c>
      <c r="O22" s="10"/>
      <c r="P22">
        <v>0</v>
      </c>
    </row>
    <row r="23" spans="1:21" ht="12.75" x14ac:dyDescent="0.2">
      <c r="A23" s="200" t="s">
        <v>136</v>
      </c>
      <c r="B23" s="201" t="s">
        <v>137</v>
      </c>
      <c r="C23" s="188">
        <f>+C25</f>
        <v>478174</v>
      </c>
      <c r="D23" s="188">
        <f>SUM(D25:D25)</f>
        <v>61600</v>
      </c>
      <c r="E23" s="188">
        <f>+E24+E25</f>
        <v>234572.79999999999</v>
      </c>
      <c r="F23" s="188">
        <f>+F24+F25</f>
        <v>234572.79999999999</v>
      </c>
      <c r="G23" s="188">
        <v>0</v>
      </c>
      <c r="H23" s="188">
        <f>+H24+H25</f>
        <v>88709.75</v>
      </c>
      <c r="I23" s="188">
        <f>SUM(I24:I25)</f>
        <v>4841</v>
      </c>
      <c r="J23" s="188">
        <f>SUM(J25:J25)</f>
        <v>0</v>
      </c>
      <c r="K23" s="188">
        <f>+K24+K25</f>
        <v>129393.29</v>
      </c>
      <c r="L23" s="188">
        <f t="shared" si="6"/>
        <v>105179.51</v>
      </c>
      <c r="M23" s="189">
        <f>SUM(M25:M25)</f>
        <v>8000</v>
      </c>
      <c r="N23" s="192">
        <f t="shared" si="4"/>
        <v>2.0637516370184437</v>
      </c>
      <c r="O23" s="10"/>
      <c r="P23">
        <v>0</v>
      </c>
    </row>
    <row r="24" spans="1:21" ht="12" customHeight="1" x14ac:dyDescent="0.2">
      <c r="A24" s="203">
        <v>165</v>
      </c>
      <c r="B24" s="196" t="s">
        <v>378</v>
      </c>
      <c r="C24" s="188"/>
      <c r="D24" s="188"/>
      <c r="E24" s="195">
        <v>226572.79999999999</v>
      </c>
      <c r="F24" s="195">
        <v>226572.79999999999</v>
      </c>
      <c r="G24" s="195"/>
      <c r="H24" s="195">
        <v>88709.75</v>
      </c>
      <c r="I24" s="195">
        <v>4841</v>
      </c>
      <c r="J24" s="188"/>
      <c r="K24" s="195">
        <v>129393.29</v>
      </c>
      <c r="L24" s="195">
        <f t="shared" si="6"/>
        <v>97179.51</v>
      </c>
      <c r="M24" s="189"/>
      <c r="N24" s="192">
        <f t="shared" si="4"/>
        <v>2.1366201062086887</v>
      </c>
      <c r="O24" s="10"/>
    </row>
    <row r="25" spans="1:21" ht="12.75" x14ac:dyDescent="0.2">
      <c r="A25" s="199" t="s">
        <v>143</v>
      </c>
      <c r="B25" s="194" t="s">
        <v>144</v>
      </c>
      <c r="C25" s="195">
        <v>478174</v>
      </c>
      <c r="D25" s="195">
        <v>61600</v>
      </c>
      <c r="E25" s="195">
        <v>8000</v>
      </c>
      <c r="F25" s="195">
        <v>8000</v>
      </c>
      <c r="G25" s="195"/>
      <c r="H25" s="195"/>
      <c r="I25" s="197">
        <v>0</v>
      </c>
      <c r="J25" s="195">
        <v>0</v>
      </c>
      <c r="K25" s="188">
        <f t="shared" si="5"/>
        <v>0</v>
      </c>
      <c r="L25" s="195">
        <f t="shared" si="6"/>
        <v>8000</v>
      </c>
      <c r="M25" s="191">
        <f t="shared" si="3"/>
        <v>8000</v>
      </c>
      <c r="N25" s="192">
        <f t="shared" si="4"/>
        <v>0</v>
      </c>
      <c r="O25" s="10"/>
    </row>
    <row r="26" spans="1:21" ht="12.75" hidden="1" x14ac:dyDescent="0.2">
      <c r="A26" s="204">
        <v>170</v>
      </c>
      <c r="B26" s="205" t="s">
        <v>323</v>
      </c>
      <c r="C26" s="206">
        <f>+C27</f>
        <v>0</v>
      </c>
      <c r="D26" s="206">
        <f t="shared" ref="D26:M26" si="10">+D27</f>
        <v>-40500</v>
      </c>
      <c r="E26" s="206">
        <f>+E27</f>
        <v>1300</v>
      </c>
      <c r="F26" s="206">
        <f t="shared" si="10"/>
        <v>0</v>
      </c>
      <c r="G26" s="206"/>
      <c r="H26" s="206">
        <f t="shared" si="10"/>
        <v>0</v>
      </c>
      <c r="I26" s="206"/>
      <c r="J26" s="206">
        <f t="shared" si="10"/>
        <v>0</v>
      </c>
      <c r="K26" s="188">
        <f t="shared" si="5"/>
        <v>0</v>
      </c>
      <c r="L26" s="195">
        <f t="shared" si="6"/>
        <v>0</v>
      </c>
      <c r="M26" s="207">
        <f t="shared" si="10"/>
        <v>1300</v>
      </c>
      <c r="N26" s="192"/>
      <c r="O26" s="10"/>
    </row>
    <row r="27" spans="1:21" ht="12.75" hidden="1" x14ac:dyDescent="0.2">
      <c r="A27" s="199">
        <v>172</v>
      </c>
      <c r="B27" s="208" t="s">
        <v>146</v>
      </c>
      <c r="C27" s="209">
        <v>0</v>
      </c>
      <c r="D27" s="209">
        <v>-40500</v>
      </c>
      <c r="E27" s="209">
        <v>1300</v>
      </c>
      <c r="F27" s="195">
        <v>0</v>
      </c>
      <c r="G27" s="197"/>
      <c r="H27" s="195">
        <v>0</v>
      </c>
      <c r="I27" s="197"/>
      <c r="J27" s="197">
        <v>0</v>
      </c>
      <c r="K27" s="188">
        <f t="shared" si="5"/>
        <v>0</v>
      </c>
      <c r="L27" s="195">
        <f t="shared" si="6"/>
        <v>0</v>
      </c>
      <c r="M27" s="191">
        <f t="shared" si="3"/>
        <v>1300</v>
      </c>
      <c r="N27" s="192"/>
      <c r="O27" s="10"/>
    </row>
    <row r="28" spans="1:21" ht="12.75" x14ac:dyDescent="0.2">
      <c r="A28" s="200" t="s">
        <v>147</v>
      </c>
      <c r="B28" s="201" t="s">
        <v>148</v>
      </c>
      <c r="C28" s="188">
        <f t="shared" ref="C28:D28" si="11">SUM(C29:C31)</f>
        <v>148750</v>
      </c>
      <c r="D28" s="188">
        <f t="shared" si="11"/>
        <v>-15882</v>
      </c>
      <c r="E28" s="188">
        <f>SUM(E29:E32)</f>
        <v>183774</v>
      </c>
      <c r="F28" s="188">
        <f t="shared" ref="F28:L28" si="12">SUM(F29:F32)</f>
        <v>183774</v>
      </c>
      <c r="G28" s="188">
        <f t="shared" si="12"/>
        <v>0</v>
      </c>
      <c r="H28" s="188">
        <f t="shared" si="12"/>
        <v>0</v>
      </c>
      <c r="I28" s="188">
        <f t="shared" si="12"/>
        <v>8774.4500000000007</v>
      </c>
      <c r="J28" s="188">
        <f t="shared" si="12"/>
        <v>0</v>
      </c>
      <c r="K28" s="188">
        <f t="shared" si="12"/>
        <v>8774.4500000000007</v>
      </c>
      <c r="L28" s="188">
        <f t="shared" si="12"/>
        <v>174999.55</v>
      </c>
      <c r="M28" s="198">
        <f t="shared" si="3"/>
        <v>174999.55</v>
      </c>
      <c r="N28" s="192">
        <f t="shared" si="4"/>
        <v>4.7745872647926264</v>
      </c>
      <c r="O28" s="10"/>
      <c r="Q28" s="3"/>
      <c r="R28" s="3"/>
      <c r="S28" s="3"/>
      <c r="T28" s="3"/>
      <c r="U28" s="3"/>
    </row>
    <row r="29" spans="1:21" ht="12.75" x14ac:dyDescent="0.2">
      <c r="A29" s="203">
        <v>181</v>
      </c>
      <c r="B29" s="196" t="s">
        <v>149</v>
      </c>
      <c r="C29" s="195">
        <v>93750</v>
      </c>
      <c r="D29" s="195">
        <v>-38182</v>
      </c>
      <c r="E29" s="195">
        <v>0</v>
      </c>
      <c r="F29" s="195">
        <v>0</v>
      </c>
      <c r="G29" s="195"/>
      <c r="H29" s="195"/>
      <c r="I29" s="197">
        <v>0</v>
      </c>
      <c r="J29" s="197">
        <v>0</v>
      </c>
      <c r="K29" s="188">
        <f t="shared" si="5"/>
        <v>0</v>
      </c>
      <c r="L29" s="195">
        <f t="shared" si="6"/>
        <v>0</v>
      </c>
      <c r="M29" s="191">
        <f t="shared" si="3"/>
        <v>0</v>
      </c>
      <c r="N29" s="192" t="e">
        <f t="shared" si="4"/>
        <v>#DIV/0!</v>
      </c>
      <c r="O29" s="10"/>
      <c r="Q29" s="3"/>
      <c r="R29" s="3"/>
      <c r="S29" s="3"/>
      <c r="T29" s="3"/>
      <c r="U29" s="3"/>
    </row>
    <row r="30" spans="1:21" ht="12.75" hidden="1" x14ac:dyDescent="0.2">
      <c r="A30" s="203">
        <v>182</v>
      </c>
      <c r="B30" s="196" t="s">
        <v>347</v>
      </c>
      <c r="C30" s="195"/>
      <c r="D30" s="195"/>
      <c r="E30" s="195"/>
      <c r="F30" s="195">
        <v>0</v>
      </c>
      <c r="G30" s="195"/>
      <c r="H30" s="195"/>
      <c r="I30" s="197"/>
      <c r="J30" s="197"/>
      <c r="K30" s="188">
        <f t="shared" si="5"/>
        <v>0</v>
      </c>
      <c r="L30" s="195">
        <f t="shared" si="6"/>
        <v>0</v>
      </c>
      <c r="M30" s="191"/>
      <c r="N30" s="192"/>
      <c r="O30" s="10"/>
      <c r="Q30" s="3"/>
      <c r="R30" s="3"/>
      <c r="S30" s="3"/>
      <c r="T30" s="3"/>
      <c r="U30" s="3"/>
    </row>
    <row r="31" spans="1:21" ht="12.75" x14ac:dyDescent="0.2">
      <c r="A31" s="199">
        <v>184</v>
      </c>
      <c r="B31" s="196" t="s">
        <v>373</v>
      </c>
      <c r="C31" s="195">
        <v>55000</v>
      </c>
      <c r="D31" s="195">
        <v>22300</v>
      </c>
      <c r="E31" s="195">
        <v>8774</v>
      </c>
      <c r="F31" s="195">
        <v>8774</v>
      </c>
      <c r="G31" s="197"/>
      <c r="H31" s="195"/>
      <c r="I31" s="197">
        <v>8774.4500000000007</v>
      </c>
      <c r="J31" s="197">
        <v>0</v>
      </c>
      <c r="K31" s="195">
        <f t="shared" si="5"/>
        <v>8774.4500000000007</v>
      </c>
      <c r="L31" s="195">
        <f t="shared" si="6"/>
        <v>-0.4500000000007276</v>
      </c>
      <c r="M31" s="191">
        <f t="shared" si="3"/>
        <v>-0.4500000000007276</v>
      </c>
      <c r="N31" s="192">
        <f t="shared" si="4"/>
        <v>100.00512878960566</v>
      </c>
      <c r="O31" s="10"/>
      <c r="Q31" s="3"/>
      <c r="R31" s="3"/>
      <c r="S31" s="3"/>
      <c r="T31" s="3"/>
      <c r="U31" s="3"/>
    </row>
    <row r="32" spans="1:21" ht="12.75" x14ac:dyDescent="0.2">
      <c r="A32" s="199">
        <v>189</v>
      </c>
      <c r="B32" s="196" t="s">
        <v>409</v>
      </c>
      <c r="C32" s="195"/>
      <c r="D32" s="195"/>
      <c r="E32" s="195">
        <v>175000</v>
      </c>
      <c r="F32" s="195">
        <v>175000</v>
      </c>
      <c r="G32" s="197"/>
      <c r="H32" s="195"/>
      <c r="I32" s="197"/>
      <c r="J32" s="197"/>
      <c r="K32" s="195"/>
      <c r="L32" s="195">
        <f t="shared" si="6"/>
        <v>175000</v>
      </c>
      <c r="M32" s="191"/>
      <c r="N32" s="192"/>
      <c r="O32" s="10"/>
      <c r="Q32" s="3"/>
      <c r="R32" s="3"/>
      <c r="S32" s="3"/>
      <c r="T32" s="3"/>
      <c r="U32" s="3"/>
    </row>
    <row r="33" spans="1:21" ht="16.5" customHeight="1" x14ac:dyDescent="0.2">
      <c r="A33" s="186" t="s">
        <v>161</v>
      </c>
      <c r="B33" s="187" t="s">
        <v>162</v>
      </c>
      <c r="C33" s="188" t="e">
        <f>+C34+C37+C44+#REF!+C52+C57+C62+C42</f>
        <v>#REF!</v>
      </c>
      <c r="D33" s="188" t="e">
        <f>+D34+D37+D44+#REF!+D52+D57+D62</f>
        <v>#REF!</v>
      </c>
      <c r="E33" s="188">
        <f t="shared" ref="E33:L33" si="13">+E42+E46+E52+E57+E62+E44</f>
        <v>126047</v>
      </c>
      <c r="F33" s="188">
        <f t="shared" si="13"/>
        <v>126046.95999999999</v>
      </c>
      <c r="G33" s="188">
        <f t="shared" si="13"/>
        <v>0</v>
      </c>
      <c r="H33" s="188">
        <f t="shared" si="13"/>
        <v>37230.97</v>
      </c>
      <c r="I33" s="188">
        <f t="shared" si="13"/>
        <v>10673.94</v>
      </c>
      <c r="J33" s="188">
        <f t="shared" si="13"/>
        <v>0</v>
      </c>
      <c r="K33" s="188">
        <f t="shared" si="13"/>
        <v>74203.25</v>
      </c>
      <c r="L33" s="188">
        <f t="shared" si="13"/>
        <v>51843.709999999992</v>
      </c>
      <c r="M33" s="189" t="e">
        <f>+M34+M37+M44+#REF!+M52+M57+M62</f>
        <v>#REF!</v>
      </c>
      <c r="N33" s="192">
        <f t="shared" si="4"/>
        <v>8.4682221710949097</v>
      </c>
      <c r="O33" s="10"/>
      <c r="Q33" s="3"/>
      <c r="R33" s="3"/>
      <c r="S33" s="3"/>
      <c r="T33" s="3"/>
      <c r="U33" s="3"/>
    </row>
    <row r="34" spans="1:21" ht="12.75" hidden="1" x14ac:dyDescent="0.2">
      <c r="A34" s="200" t="s">
        <v>171</v>
      </c>
      <c r="B34" s="201" t="s">
        <v>172</v>
      </c>
      <c r="C34" s="188">
        <f>SUM(C36:C36)</f>
        <v>0</v>
      </c>
      <c r="D34" s="188">
        <f>SUM(D36:D36)</f>
        <v>100</v>
      </c>
      <c r="E34" s="188">
        <f>SUM(E36:E36)</f>
        <v>0</v>
      </c>
      <c r="F34" s="188">
        <v>0</v>
      </c>
      <c r="G34" s="188"/>
      <c r="H34" s="188">
        <v>0</v>
      </c>
      <c r="I34" s="210"/>
      <c r="J34" s="188">
        <f>SUM(J36:J36)</f>
        <v>0</v>
      </c>
      <c r="K34" s="188">
        <f t="shared" si="5"/>
        <v>0</v>
      </c>
      <c r="L34" s="195">
        <f t="shared" si="6"/>
        <v>0</v>
      </c>
      <c r="M34" s="198">
        <f t="shared" si="3"/>
        <v>0</v>
      </c>
      <c r="N34" s="192" t="e">
        <f t="shared" si="4"/>
        <v>#DIV/0!</v>
      </c>
      <c r="O34" s="10"/>
      <c r="Q34" s="3"/>
      <c r="R34" s="3"/>
      <c r="S34" s="3"/>
      <c r="T34" s="3"/>
      <c r="U34" s="3"/>
    </row>
    <row r="35" spans="1:21" ht="12.75" hidden="1" x14ac:dyDescent="0.2">
      <c r="A35" s="203">
        <v>211</v>
      </c>
      <c r="B35" s="196" t="s">
        <v>174</v>
      </c>
      <c r="C35" s="188"/>
      <c r="D35" s="188"/>
      <c r="E35" s="188"/>
      <c r="F35" s="195">
        <v>0</v>
      </c>
      <c r="G35" s="188"/>
      <c r="H35" s="195">
        <v>0</v>
      </c>
      <c r="I35" s="210"/>
      <c r="J35" s="188"/>
      <c r="K35" s="188">
        <f t="shared" si="5"/>
        <v>0</v>
      </c>
      <c r="L35" s="195">
        <f t="shared" si="6"/>
        <v>0</v>
      </c>
      <c r="M35" s="198"/>
      <c r="N35" s="192"/>
      <c r="O35" s="10"/>
      <c r="Q35" s="3"/>
      <c r="R35" s="3"/>
      <c r="S35" s="3"/>
      <c r="T35" s="3"/>
      <c r="U35" s="3"/>
    </row>
    <row r="36" spans="1:21" ht="12.75" hidden="1" x14ac:dyDescent="0.2">
      <c r="A36" s="199" t="s">
        <v>177</v>
      </c>
      <c r="B36" s="194" t="s">
        <v>178</v>
      </c>
      <c r="C36" s="195">
        <v>0</v>
      </c>
      <c r="D36" s="195">
        <v>100</v>
      </c>
      <c r="E36" s="195">
        <v>0</v>
      </c>
      <c r="F36" s="195">
        <v>0</v>
      </c>
      <c r="G36" s="197"/>
      <c r="H36" s="195">
        <v>0</v>
      </c>
      <c r="I36" s="197"/>
      <c r="J36" s="197">
        <v>0</v>
      </c>
      <c r="K36" s="188">
        <f t="shared" si="5"/>
        <v>0</v>
      </c>
      <c r="L36" s="195">
        <f t="shared" si="6"/>
        <v>0</v>
      </c>
      <c r="M36" s="191">
        <f t="shared" si="3"/>
        <v>0</v>
      </c>
      <c r="N36" s="192" t="e">
        <f t="shared" si="4"/>
        <v>#DIV/0!</v>
      </c>
      <c r="O36" s="10"/>
      <c r="Q36" s="3"/>
      <c r="R36" s="3"/>
      <c r="S36" s="3"/>
      <c r="T36" s="3"/>
      <c r="U36" s="3"/>
    </row>
    <row r="37" spans="1:21" ht="12.75" hidden="1" x14ac:dyDescent="0.2">
      <c r="A37" s="200" t="s">
        <v>183</v>
      </c>
      <c r="B37" s="201" t="s">
        <v>184</v>
      </c>
      <c r="C37" s="188">
        <f>SUM(C38:C41)</f>
        <v>0</v>
      </c>
      <c r="D37" s="188">
        <f>SUM(D38:D41)</f>
        <v>12000</v>
      </c>
      <c r="E37" s="188">
        <f>SUM(E38:E41)</f>
        <v>0</v>
      </c>
      <c r="F37" s="188">
        <v>0</v>
      </c>
      <c r="G37" s="188"/>
      <c r="H37" s="188">
        <v>0</v>
      </c>
      <c r="I37" s="210"/>
      <c r="J37" s="188">
        <f>SUM(J38:J41)</f>
        <v>2221.5700000000002</v>
      </c>
      <c r="K37" s="188">
        <f t="shared" si="5"/>
        <v>0</v>
      </c>
      <c r="L37" s="195">
        <f t="shared" si="6"/>
        <v>0</v>
      </c>
      <c r="M37" s="198">
        <f t="shared" si="3"/>
        <v>0</v>
      </c>
      <c r="N37" s="192" t="e">
        <f t="shared" si="4"/>
        <v>#DIV/0!</v>
      </c>
      <c r="O37" s="11"/>
      <c r="Q37" s="3"/>
      <c r="R37" s="3"/>
      <c r="S37" s="3"/>
      <c r="T37" s="3"/>
      <c r="U37" s="3"/>
    </row>
    <row r="38" spans="1:21" ht="12.75" hidden="1" x14ac:dyDescent="0.2">
      <c r="A38" s="202" t="s">
        <v>185</v>
      </c>
      <c r="B38" s="196" t="s">
        <v>186</v>
      </c>
      <c r="C38" s="195">
        <v>0</v>
      </c>
      <c r="D38" s="195">
        <v>4000</v>
      </c>
      <c r="E38" s="195">
        <v>0</v>
      </c>
      <c r="F38" s="195">
        <v>0</v>
      </c>
      <c r="G38" s="197"/>
      <c r="H38" s="195">
        <v>0</v>
      </c>
      <c r="I38" s="197"/>
      <c r="J38" s="197">
        <v>0</v>
      </c>
      <c r="K38" s="188">
        <f t="shared" si="5"/>
        <v>0</v>
      </c>
      <c r="L38" s="195">
        <f t="shared" si="6"/>
        <v>0</v>
      </c>
      <c r="M38" s="191">
        <f t="shared" si="3"/>
        <v>0</v>
      </c>
      <c r="N38" s="192" t="e">
        <f t="shared" si="4"/>
        <v>#DIV/0!</v>
      </c>
      <c r="O38" s="10"/>
      <c r="Q38" s="3"/>
      <c r="R38" s="3"/>
      <c r="S38" s="3"/>
      <c r="T38" s="3"/>
      <c r="U38" s="3"/>
    </row>
    <row r="39" spans="1:21" ht="12.75" hidden="1" x14ac:dyDescent="0.2">
      <c r="A39" s="203">
        <v>222</v>
      </c>
      <c r="B39" s="196" t="s">
        <v>296</v>
      </c>
      <c r="C39" s="195">
        <v>0</v>
      </c>
      <c r="D39" s="195">
        <v>4000</v>
      </c>
      <c r="E39" s="195">
        <v>0</v>
      </c>
      <c r="F39" s="195">
        <v>0</v>
      </c>
      <c r="G39" s="195"/>
      <c r="H39" s="195">
        <v>0</v>
      </c>
      <c r="I39" s="197"/>
      <c r="J39" s="197">
        <v>2221.5700000000002</v>
      </c>
      <c r="K39" s="188">
        <f t="shared" si="5"/>
        <v>0</v>
      </c>
      <c r="L39" s="195">
        <f t="shared" si="6"/>
        <v>0</v>
      </c>
      <c r="M39" s="191">
        <f t="shared" si="3"/>
        <v>0</v>
      </c>
      <c r="N39" s="192" t="e">
        <f t="shared" si="4"/>
        <v>#DIV/0!</v>
      </c>
      <c r="O39" s="10"/>
      <c r="Q39" s="3"/>
      <c r="R39" s="3"/>
      <c r="S39" s="3"/>
      <c r="T39" s="3"/>
      <c r="U39" s="3"/>
    </row>
    <row r="40" spans="1:21" ht="12.75" hidden="1" x14ac:dyDescent="0.2">
      <c r="A40" s="199" t="s">
        <v>187</v>
      </c>
      <c r="B40" s="194" t="s">
        <v>188</v>
      </c>
      <c r="C40" s="195">
        <v>0</v>
      </c>
      <c r="D40" s="195">
        <v>2000</v>
      </c>
      <c r="E40" s="195">
        <v>0</v>
      </c>
      <c r="F40" s="195">
        <v>0</v>
      </c>
      <c r="G40" s="197"/>
      <c r="H40" s="195">
        <v>0</v>
      </c>
      <c r="I40" s="210"/>
      <c r="J40" s="197">
        <v>0</v>
      </c>
      <c r="K40" s="188">
        <f t="shared" si="5"/>
        <v>0</v>
      </c>
      <c r="L40" s="195">
        <f t="shared" si="6"/>
        <v>0</v>
      </c>
      <c r="M40" s="191">
        <f t="shared" si="3"/>
        <v>0</v>
      </c>
      <c r="N40" s="192" t="e">
        <f t="shared" si="4"/>
        <v>#DIV/0!</v>
      </c>
      <c r="O40" s="10"/>
      <c r="Q40" s="3"/>
      <c r="R40" s="3"/>
      <c r="S40" s="3"/>
      <c r="T40" s="3"/>
      <c r="U40" s="3"/>
    </row>
    <row r="41" spans="1:21" ht="12.75" hidden="1" x14ac:dyDescent="0.2">
      <c r="A41" s="199" t="s">
        <v>189</v>
      </c>
      <c r="B41" s="194" t="s">
        <v>190</v>
      </c>
      <c r="C41" s="195">
        <v>0</v>
      </c>
      <c r="D41" s="195">
        <v>2000</v>
      </c>
      <c r="E41" s="195">
        <v>0</v>
      </c>
      <c r="F41" s="195">
        <v>0</v>
      </c>
      <c r="G41" s="197"/>
      <c r="H41" s="195">
        <v>0</v>
      </c>
      <c r="I41" s="210"/>
      <c r="J41" s="197">
        <v>0</v>
      </c>
      <c r="K41" s="188">
        <f t="shared" si="5"/>
        <v>0</v>
      </c>
      <c r="L41" s="195">
        <f t="shared" si="6"/>
        <v>0</v>
      </c>
      <c r="M41" s="191">
        <f t="shared" si="3"/>
        <v>0</v>
      </c>
      <c r="N41" s="192" t="e">
        <f t="shared" si="4"/>
        <v>#DIV/0!</v>
      </c>
      <c r="O41" s="10"/>
      <c r="Q41" s="3"/>
      <c r="R41" s="3"/>
      <c r="S41" s="3"/>
      <c r="T41" s="3"/>
      <c r="U41" s="3"/>
    </row>
    <row r="42" spans="1:21" ht="12.75" x14ac:dyDescent="0.2">
      <c r="A42" s="186">
        <v>230</v>
      </c>
      <c r="B42" s="187" t="s">
        <v>348</v>
      </c>
      <c r="C42" s="188">
        <f>+C43</f>
        <v>3000</v>
      </c>
      <c r="D42" s="188"/>
      <c r="E42" s="188">
        <f>+E43</f>
        <v>0</v>
      </c>
      <c r="F42" s="188">
        <f t="shared" ref="F42:J42" si="14">+F43</f>
        <v>0</v>
      </c>
      <c r="G42" s="188">
        <f t="shared" si="14"/>
        <v>0</v>
      </c>
      <c r="H42" s="188">
        <f t="shared" si="14"/>
        <v>900</v>
      </c>
      <c r="I42" s="188">
        <f t="shared" si="14"/>
        <v>0</v>
      </c>
      <c r="J42" s="188">
        <f t="shared" si="14"/>
        <v>0</v>
      </c>
      <c r="K42" s="188">
        <v>0</v>
      </c>
      <c r="L42" s="195">
        <f t="shared" si="6"/>
        <v>0</v>
      </c>
      <c r="M42" s="198"/>
      <c r="N42" s="192"/>
      <c r="O42" s="10"/>
      <c r="Q42" s="3"/>
      <c r="R42" s="3"/>
      <c r="S42" s="3"/>
      <c r="T42" s="3"/>
      <c r="U42" s="3"/>
    </row>
    <row r="43" spans="1:21" ht="12.75" x14ac:dyDescent="0.2">
      <c r="A43" s="199">
        <v>231</v>
      </c>
      <c r="B43" s="194" t="s">
        <v>195</v>
      </c>
      <c r="C43" s="195">
        <v>3000</v>
      </c>
      <c r="D43" s="195"/>
      <c r="E43" s="195">
        <v>0</v>
      </c>
      <c r="F43" s="195">
        <v>0</v>
      </c>
      <c r="G43" s="197"/>
      <c r="H43" s="195">
        <v>900</v>
      </c>
      <c r="I43" s="210"/>
      <c r="J43" s="197"/>
      <c r="K43" s="195">
        <v>0</v>
      </c>
      <c r="L43" s="195">
        <f t="shared" si="6"/>
        <v>0</v>
      </c>
      <c r="M43" s="191"/>
      <c r="N43" s="192"/>
      <c r="O43" s="10"/>
      <c r="Q43" s="3"/>
      <c r="R43" s="3"/>
      <c r="S43" s="3"/>
      <c r="T43" s="3"/>
      <c r="U43" s="3"/>
    </row>
    <row r="44" spans="1:21" ht="18" customHeight="1" x14ac:dyDescent="0.2">
      <c r="A44" s="200" t="s">
        <v>200</v>
      </c>
      <c r="B44" s="201" t="s">
        <v>201</v>
      </c>
      <c r="C44" s="188" t="e">
        <f>SUM(#REF!)</f>
        <v>#REF!</v>
      </c>
      <c r="D44" s="188" t="e">
        <f>SUM(#REF!)</f>
        <v>#REF!</v>
      </c>
      <c r="E44" s="188">
        <f>+E45</f>
        <v>7900</v>
      </c>
      <c r="F44" s="188">
        <f t="shared" ref="F44:L44" si="15">+F45</f>
        <v>7900</v>
      </c>
      <c r="G44" s="188">
        <f t="shared" si="15"/>
        <v>0</v>
      </c>
      <c r="H44" s="188">
        <f t="shared" si="15"/>
        <v>0</v>
      </c>
      <c r="I44" s="188">
        <f t="shared" si="15"/>
        <v>0</v>
      </c>
      <c r="J44" s="188">
        <f t="shared" si="15"/>
        <v>0</v>
      </c>
      <c r="K44" s="188">
        <f t="shared" si="15"/>
        <v>7726.47</v>
      </c>
      <c r="L44" s="188">
        <f t="shared" si="15"/>
        <v>173.52999999999975</v>
      </c>
      <c r="M44" s="198">
        <f t="shared" si="3"/>
        <v>7900</v>
      </c>
      <c r="N44" s="192">
        <f t="shared" si="4"/>
        <v>0</v>
      </c>
      <c r="O44" s="10"/>
      <c r="Q44" s="3"/>
      <c r="R44" s="3"/>
      <c r="S44" s="3"/>
      <c r="T44" s="3"/>
      <c r="U44" s="3"/>
    </row>
    <row r="45" spans="1:21" ht="15" customHeight="1" x14ac:dyDescent="0.2">
      <c r="A45" s="203">
        <v>243</v>
      </c>
      <c r="B45" s="196" t="s">
        <v>349</v>
      </c>
      <c r="C45" s="188"/>
      <c r="D45" s="188"/>
      <c r="E45" s="195">
        <v>7900</v>
      </c>
      <c r="F45" s="195">
        <v>7900</v>
      </c>
      <c r="G45" s="188"/>
      <c r="H45" s="195">
        <v>0</v>
      </c>
      <c r="I45" s="210"/>
      <c r="J45" s="188"/>
      <c r="K45" s="195">
        <v>7726.47</v>
      </c>
      <c r="L45" s="195">
        <f t="shared" si="6"/>
        <v>173.52999999999975</v>
      </c>
      <c r="M45" s="198"/>
      <c r="N45" s="192"/>
      <c r="O45" s="10"/>
      <c r="Q45" s="3"/>
      <c r="R45" s="3"/>
      <c r="S45" s="3"/>
      <c r="T45" s="3"/>
      <c r="U45" s="3"/>
    </row>
    <row r="46" spans="1:21" s="7" customFormat="1" ht="15.75" customHeight="1" x14ac:dyDescent="0.2">
      <c r="A46" s="212">
        <v>250</v>
      </c>
      <c r="B46" s="201" t="s">
        <v>385</v>
      </c>
      <c r="C46" s="188"/>
      <c r="D46" s="188"/>
      <c r="E46" s="188">
        <f t="shared" ref="E46:F46" si="16">+E49+E51+E48+E47+E50</f>
        <v>43398</v>
      </c>
      <c r="F46" s="188">
        <f t="shared" si="16"/>
        <v>43397.96</v>
      </c>
      <c r="G46" s="188">
        <f t="shared" ref="G46:J46" si="17">+G49+G51+G48+G47</f>
        <v>0</v>
      </c>
      <c r="H46" s="188">
        <f t="shared" si="17"/>
        <v>6217.51</v>
      </c>
      <c r="I46" s="188">
        <f t="shared" si="17"/>
        <v>9999.94</v>
      </c>
      <c r="J46" s="188">
        <f t="shared" si="17"/>
        <v>0</v>
      </c>
      <c r="K46" s="188">
        <f>+K49+K51+K48+K47+K50</f>
        <v>29933.56</v>
      </c>
      <c r="L46" s="188">
        <f>+F46-K46</f>
        <v>13464.399999999998</v>
      </c>
      <c r="M46" s="198"/>
      <c r="N46" s="192"/>
      <c r="O46" s="10"/>
      <c r="Q46" s="254"/>
      <c r="R46" s="254"/>
      <c r="S46" s="254"/>
      <c r="T46" s="254"/>
      <c r="U46" s="254"/>
    </row>
    <row r="47" spans="1:21" s="183" customFormat="1" ht="15.75" customHeight="1" x14ac:dyDescent="0.2">
      <c r="A47" s="203">
        <v>252</v>
      </c>
      <c r="B47" s="196" t="s">
        <v>216</v>
      </c>
      <c r="C47" s="195"/>
      <c r="D47" s="195"/>
      <c r="E47" s="195">
        <v>1600</v>
      </c>
      <c r="F47" s="195">
        <v>1600</v>
      </c>
      <c r="G47" s="195"/>
      <c r="H47" s="195"/>
      <c r="I47" s="195"/>
      <c r="J47" s="195"/>
      <c r="K47" s="195">
        <v>1592.45</v>
      </c>
      <c r="L47" s="195">
        <f t="shared" si="6"/>
        <v>7.5499999999999545</v>
      </c>
      <c r="M47" s="191"/>
      <c r="N47" s="211"/>
      <c r="O47" s="282"/>
      <c r="Q47" s="5"/>
      <c r="R47" s="5"/>
      <c r="S47" s="5"/>
      <c r="T47" s="5"/>
      <c r="U47" s="5"/>
    </row>
    <row r="48" spans="1:21" s="7" customFormat="1" ht="15.75" customHeight="1" x14ac:dyDescent="0.2">
      <c r="A48" s="203">
        <v>254</v>
      </c>
      <c r="B48" s="196" t="s">
        <v>393</v>
      </c>
      <c r="C48" s="188"/>
      <c r="D48" s="188"/>
      <c r="E48" s="195">
        <v>4500</v>
      </c>
      <c r="F48" s="195">
        <v>4500</v>
      </c>
      <c r="G48" s="188"/>
      <c r="H48" s="195">
        <v>4033.9</v>
      </c>
      <c r="I48" s="188"/>
      <c r="J48" s="188"/>
      <c r="K48" s="195">
        <v>906.5</v>
      </c>
      <c r="L48" s="195">
        <f t="shared" si="6"/>
        <v>3593.5</v>
      </c>
      <c r="M48" s="198"/>
      <c r="N48" s="192"/>
      <c r="O48" s="10"/>
      <c r="Q48" s="254"/>
      <c r="R48" s="254"/>
      <c r="S48" s="254"/>
      <c r="T48" s="254"/>
      <c r="U48" s="254"/>
    </row>
    <row r="49" spans="1:21" s="7" customFormat="1" ht="15.75" customHeight="1" x14ac:dyDescent="0.2">
      <c r="A49" s="203">
        <v>256</v>
      </c>
      <c r="B49" s="196" t="s">
        <v>388</v>
      </c>
      <c r="C49" s="188"/>
      <c r="D49" s="188"/>
      <c r="E49" s="195">
        <v>13649.96</v>
      </c>
      <c r="F49" s="195">
        <v>13649.96</v>
      </c>
      <c r="G49" s="195"/>
      <c r="H49" s="195">
        <v>2183.61</v>
      </c>
      <c r="I49" s="197"/>
      <c r="J49" s="195"/>
      <c r="K49" s="195">
        <v>12426.64</v>
      </c>
      <c r="L49" s="195">
        <f t="shared" si="6"/>
        <v>1223.3199999999997</v>
      </c>
      <c r="M49" s="198"/>
      <c r="N49" s="192"/>
      <c r="O49" s="10"/>
      <c r="Q49" s="254"/>
      <c r="R49" s="254"/>
      <c r="S49" s="254"/>
      <c r="T49" s="254"/>
      <c r="U49" s="254"/>
    </row>
    <row r="50" spans="1:21" s="7" customFormat="1" ht="15.75" customHeight="1" x14ac:dyDescent="0.2">
      <c r="A50" s="203">
        <v>257</v>
      </c>
      <c r="B50" s="196" t="s">
        <v>408</v>
      </c>
      <c r="C50" s="188"/>
      <c r="D50" s="188"/>
      <c r="E50" s="195">
        <v>970</v>
      </c>
      <c r="F50" s="195">
        <v>970</v>
      </c>
      <c r="G50" s="195"/>
      <c r="H50" s="195"/>
      <c r="I50" s="197"/>
      <c r="J50" s="195"/>
      <c r="K50" s="195">
        <v>930.47</v>
      </c>
      <c r="L50" s="195">
        <f t="shared" si="6"/>
        <v>39.529999999999973</v>
      </c>
      <c r="M50" s="198"/>
      <c r="N50" s="192"/>
      <c r="O50" s="10"/>
      <c r="Q50" s="254"/>
      <c r="R50" s="254"/>
      <c r="S50" s="254"/>
      <c r="T50" s="254"/>
      <c r="U50" s="254"/>
    </row>
    <row r="51" spans="1:21" ht="15.75" customHeight="1" x14ac:dyDescent="0.2">
      <c r="A51" s="199" t="s">
        <v>225</v>
      </c>
      <c r="B51" s="194" t="s">
        <v>346</v>
      </c>
      <c r="C51" s="195">
        <v>0</v>
      </c>
      <c r="D51" s="195">
        <v>53940</v>
      </c>
      <c r="E51" s="195">
        <v>22678.04</v>
      </c>
      <c r="F51" s="195">
        <v>22678</v>
      </c>
      <c r="G51" s="195"/>
      <c r="H51" s="195"/>
      <c r="I51" s="197">
        <v>9999.94</v>
      </c>
      <c r="J51" s="197">
        <v>0</v>
      </c>
      <c r="K51" s="195">
        <v>14077.5</v>
      </c>
      <c r="L51" s="195">
        <f t="shared" si="6"/>
        <v>8600.5</v>
      </c>
      <c r="M51" s="191">
        <f t="shared" si="3"/>
        <v>12678.1</v>
      </c>
      <c r="N51" s="192">
        <f t="shared" si="4"/>
        <v>44.095256909327261</v>
      </c>
      <c r="O51" s="10"/>
      <c r="Q51" s="3"/>
      <c r="R51" s="3"/>
      <c r="S51" s="3"/>
      <c r="T51" s="3"/>
      <c r="U51" s="3"/>
    </row>
    <row r="52" spans="1:21" ht="12.75" x14ac:dyDescent="0.2">
      <c r="A52" s="200" t="s">
        <v>227</v>
      </c>
      <c r="B52" s="201" t="s">
        <v>228</v>
      </c>
      <c r="C52" s="188">
        <f t="shared" ref="C52:J52" si="18">SUM(C53:C56)</f>
        <v>5575</v>
      </c>
      <c r="D52" s="188">
        <f t="shared" si="18"/>
        <v>26000</v>
      </c>
      <c r="E52" s="188">
        <f>SUM(E53:E56)</f>
        <v>51140</v>
      </c>
      <c r="F52" s="188">
        <f>SUM(F53:F56)</f>
        <v>51140</v>
      </c>
      <c r="G52" s="188">
        <f t="shared" si="18"/>
        <v>0</v>
      </c>
      <c r="H52" s="188">
        <f>SUM(H53:H56)</f>
        <v>27205.919999999998</v>
      </c>
      <c r="I52" s="188">
        <f t="shared" si="18"/>
        <v>674</v>
      </c>
      <c r="J52" s="188">
        <f t="shared" si="18"/>
        <v>0</v>
      </c>
      <c r="K52" s="188">
        <f>+K53+K54+K55+K56</f>
        <v>26060.25</v>
      </c>
      <c r="L52" s="188">
        <f t="shared" si="6"/>
        <v>25079.75</v>
      </c>
      <c r="M52" s="198">
        <f t="shared" si="3"/>
        <v>50466</v>
      </c>
      <c r="N52" s="192">
        <f t="shared" si="4"/>
        <v>1.3179507235041064</v>
      </c>
      <c r="Q52" s="3"/>
      <c r="R52" s="3"/>
      <c r="S52" s="3"/>
      <c r="T52" s="3"/>
      <c r="U52" s="3"/>
    </row>
    <row r="53" spans="1:21" ht="12.75" x14ac:dyDescent="0.2">
      <c r="A53" s="199" t="s">
        <v>230</v>
      </c>
      <c r="B53" s="194" t="s">
        <v>231</v>
      </c>
      <c r="C53" s="195">
        <v>0</v>
      </c>
      <c r="D53" s="197">
        <v>14000</v>
      </c>
      <c r="E53" s="195">
        <v>26000</v>
      </c>
      <c r="F53" s="195">
        <v>26000</v>
      </c>
      <c r="G53" s="195"/>
      <c r="H53" s="195">
        <v>23814</v>
      </c>
      <c r="I53" s="197">
        <v>674</v>
      </c>
      <c r="J53" s="197">
        <v>0</v>
      </c>
      <c r="K53" s="195">
        <v>9070.5400000000009</v>
      </c>
      <c r="L53" s="195">
        <f t="shared" si="6"/>
        <v>16929.46</v>
      </c>
      <c r="M53" s="191">
        <f t="shared" si="3"/>
        <v>25326</v>
      </c>
      <c r="N53" s="192">
        <f t="shared" si="4"/>
        <v>2.5923076923076924</v>
      </c>
      <c r="O53" s="10"/>
      <c r="Q53" s="3"/>
      <c r="R53" s="3"/>
      <c r="S53" s="3"/>
      <c r="T53" s="3"/>
      <c r="U53" s="3"/>
    </row>
    <row r="54" spans="1:21" ht="12.75" x14ac:dyDescent="0.2">
      <c r="A54" s="199">
        <v>263</v>
      </c>
      <c r="B54" s="194" t="s">
        <v>389</v>
      </c>
      <c r="C54" s="195"/>
      <c r="D54" s="197"/>
      <c r="E54" s="195">
        <v>2140</v>
      </c>
      <c r="F54" s="195">
        <v>2140</v>
      </c>
      <c r="G54" s="195"/>
      <c r="H54" s="195"/>
      <c r="I54" s="197"/>
      <c r="J54" s="197"/>
      <c r="K54" s="195">
        <v>0</v>
      </c>
      <c r="L54" s="195">
        <f t="shared" si="6"/>
        <v>2140</v>
      </c>
      <c r="M54" s="191"/>
      <c r="N54" s="192"/>
      <c r="O54" s="10"/>
      <c r="Q54" s="3"/>
      <c r="R54" s="3"/>
      <c r="S54" s="3"/>
      <c r="T54" s="3"/>
      <c r="U54" s="3"/>
    </row>
    <row r="55" spans="1:21" ht="12.75" x14ac:dyDescent="0.2">
      <c r="A55" s="199">
        <v>265</v>
      </c>
      <c r="B55" s="194" t="s">
        <v>350</v>
      </c>
      <c r="C55" s="195"/>
      <c r="D55" s="197"/>
      <c r="E55" s="195">
        <v>23000</v>
      </c>
      <c r="F55" s="195">
        <v>23000</v>
      </c>
      <c r="G55" s="195"/>
      <c r="H55" s="195">
        <v>3391.92</v>
      </c>
      <c r="I55" s="197"/>
      <c r="J55" s="197"/>
      <c r="K55" s="195">
        <v>16989.71</v>
      </c>
      <c r="L55" s="195">
        <f t="shared" si="6"/>
        <v>6010.2900000000009</v>
      </c>
      <c r="M55" s="191"/>
      <c r="N55" s="192">
        <f t="shared" si="4"/>
        <v>0</v>
      </c>
      <c r="O55" s="10"/>
      <c r="Q55" s="3"/>
      <c r="R55" s="3"/>
      <c r="S55" s="3"/>
      <c r="T55" s="3"/>
      <c r="U55" s="3"/>
    </row>
    <row r="56" spans="1:21" ht="12.75" x14ac:dyDescent="0.2">
      <c r="A56" s="199" t="s">
        <v>233</v>
      </c>
      <c r="B56" s="194" t="s">
        <v>234</v>
      </c>
      <c r="C56" s="195">
        <v>5575</v>
      </c>
      <c r="D56" s="197">
        <v>12000</v>
      </c>
      <c r="E56" s="195">
        <v>0</v>
      </c>
      <c r="F56" s="195">
        <v>0</v>
      </c>
      <c r="G56" s="197"/>
      <c r="H56" s="195"/>
      <c r="I56" s="197"/>
      <c r="J56" s="197">
        <v>0</v>
      </c>
      <c r="K56" s="195">
        <f t="shared" si="5"/>
        <v>0</v>
      </c>
      <c r="L56" s="195">
        <f t="shared" si="6"/>
        <v>0</v>
      </c>
      <c r="M56" s="191">
        <f t="shared" si="3"/>
        <v>0</v>
      </c>
      <c r="N56" s="192" t="e">
        <f t="shared" si="4"/>
        <v>#DIV/0!</v>
      </c>
      <c r="O56" s="10"/>
      <c r="Q56" s="3"/>
      <c r="R56" s="3"/>
      <c r="S56" s="3"/>
      <c r="T56" s="3"/>
      <c r="U56" s="3"/>
    </row>
    <row r="57" spans="1:21" ht="12.75" x14ac:dyDescent="0.2">
      <c r="A57" s="200" t="s">
        <v>235</v>
      </c>
      <c r="B57" s="201" t="s">
        <v>236</v>
      </c>
      <c r="C57" s="188">
        <f>+C59</f>
        <v>43925</v>
      </c>
      <c r="D57" s="188">
        <f>SUM(D60:D60)</f>
        <v>600</v>
      </c>
      <c r="E57" s="188">
        <f>+E59+E60+E61</f>
        <v>22027</v>
      </c>
      <c r="F57" s="188">
        <f t="shared" ref="F57:K57" si="19">+F59+F60+F61</f>
        <v>22027</v>
      </c>
      <c r="G57" s="188">
        <f t="shared" si="19"/>
        <v>0</v>
      </c>
      <c r="H57" s="188">
        <f t="shared" si="19"/>
        <v>2415.6800000000003</v>
      </c>
      <c r="I57" s="188">
        <f t="shared" si="19"/>
        <v>0</v>
      </c>
      <c r="J57" s="188">
        <f t="shared" si="19"/>
        <v>0</v>
      </c>
      <c r="K57" s="188">
        <f t="shared" si="19"/>
        <v>10472.52</v>
      </c>
      <c r="L57" s="188">
        <f t="shared" si="6"/>
        <v>11554.48</v>
      </c>
      <c r="M57" s="198">
        <f t="shared" si="3"/>
        <v>22027</v>
      </c>
      <c r="N57" s="192">
        <f t="shared" si="4"/>
        <v>0</v>
      </c>
      <c r="O57" s="10"/>
      <c r="Q57" s="3"/>
      <c r="R57" s="3"/>
      <c r="S57" s="3"/>
      <c r="T57" s="3"/>
      <c r="U57" s="3"/>
    </row>
    <row r="58" spans="1:21" ht="12.75" hidden="1" x14ac:dyDescent="0.2">
      <c r="A58" s="203">
        <v>271</v>
      </c>
      <c r="B58" s="196" t="s">
        <v>238</v>
      </c>
      <c r="C58" s="195">
        <v>0</v>
      </c>
      <c r="D58" s="195"/>
      <c r="E58" s="195">
        <v>2828</v>
      </c>
      <c r="F58" s="195">
        <v>0</v>
      </c>
      <c r="G58" s="188"/>
      <c r="H58" s="195">
        <v>0</v>
      </c>
      <c r="I58" s="210"/>
      <c r="J58" s="188"/>
      <c r="K58" s="188">
        <f t="shared" si="5"/>
        <v>0</v>
      </c>
      <c r="L58" s="188">
        <f t="shared" si="6"/>
        <v>0</v>
      </c>
      <c r="M58" s="198"/>
      <c r="N58" s="192"/>
      <c r="O58" s="10"/>
      <c r="Q58" s="3"/>
      <c r="R58" s="3"/>
      <c r="S58" s="3"/>
      <c r="T58" s="3"/>
      <c r="U58" s="3"/>
    </row>
    <row r="59" spans="1:21" ht="12.75" x14ac:dyDescent="0.2">
      <c r="A59" s="203">
        <v>274</v>
      </c>
      <c r="B59" s="196" t="s">
        <v>374</v>
      </c>
      <c r="C59" s="195">
        <v>43925</v>
      </c>
      <c r="D59" s="188"/>
      <c r="E59" s="195">
        <v>10027</v>
      </c>
      <c r="F59" s="195">
        <v>10027</v>
      </c>
      <c r="G59" s="195"/>
      <c r="H59" s="195">
        <v>1345.68</v>
      </c>
      <c r="I59" s="197"/>
      <c r="J59" s="188"/>
      <c r="K59" s="195">
        <v>2729.89</v>
      </c>
      <c r="L59" s="195">
        <f t="shared" si="6"/>
        <v>7297.1100000000006</v>
      </c>
      <c r="M59" s="198"/>
      <c r="N59" s="192"/>
      <c r="O59" s="10"/>
      <c r="Q59" s="3"/>
      <c r="R59" s="3"/>
      <c r="S59" s="3"/>
      <c r="T59" s="3"/>
      <c r="U59" s="3"/>
    </row>
    <row r="60" spans="1:21" ht="12" customHeight="1" x14ac:dyDescent="0.2">
      <c r="A60" s="199">
        <v>275</v>
      </c>
      <c r="B60" s="194" t="s">
        <v>390</v>
      </c>
      <c r="C60" s="195">
        <v>0</v>
      </c>
      <c r="D60" s="197">
        <v>600</v>
      </c>
      <c r="E60" s="195">
        <v>3000</v>
      </c>
      <c r="F60" s="195">
        <v>3000</v>
      </c>
      <c r="G60" s="197"/>
      <c r="H60" s="195">
        <v>1070</v>
      </c>
      <c r="I60" s="197"/>
      <c r="J60" s="197">
        <v>0</v>
      </c>
      <c r="K60" s="195">
        <v>1605</v>
      </c>
      <c r="L60" s="195">
        <f t="shared" si="6"/>
        <v>1395</v>
      </c>
      <c r="M60" s="191">
        <f t="shared" si="3"/>
        <v>3000</v>
      </c>
      <c r="N60" s="192">
        <f t="shared" si="4"/>
        <v>0</v>
      </c>
      <c r="O60" s="10"/>
      <c r="Q60" s="3"/>
      <c r="R60" s="3"/>
      <c r="S60" s="3"/>
      <c r="T60" s="3"/>
      <c r="U60" s="3"/>
    </row>
    <row r="61" spans="1:21" ht="12" customHeight="1" x14ac:dyDescent="0.2">
      <c r="A61" s="199">
        <v>279</v>
      </c>
      <c r="B61" s="194" t="s">
        <v>412</v>
      </c>
      <c r="C61" s="195"/>
      <c r="D61" s="197"/>
      <c r="E61" s="195">
        <v>9000</v>
      </c>
      <c r="F61" s="195">
        <v>9000</v>
      </c>
      <c r="G61" s="197"/>
      <c r="H61" s="195"/>
      <c r="I61" s="197"/>
      <c r="J61" s="197"/>
      <c r="K61" s="195">
        <v>6137.63</v>
      </c>
      <c r="L61" s="195">
        <f t="shared" si="6"/>
        <v>2862.37</v>
      </c>
      <c r="M61" s="191"/>
      <c r="N61" s="192"/>
      <c r="O61" s="10"/>
      <c r="Q61" s="3"/>
      <c r="R61" s="3"/>
      <c r="S61" s="3"/>
      <c r="T61" s="3"/>
      <c r="U61" s="3"/>
    </row>
    <row r="62" spans="1:21" ht="15" customHeight="1" x14ac:dyDescent="0.2">
      <c r="A62" s="200" t="s">
        <v>251</v>
      </c>
      <c r="B62" s="201" t="s">
        <v>252</v>
      </c>
      <c r="C62" s="188">
        <v>0</v>
      </c>
      <c r="D62" s="188">
        <v>8000</v>
      </c>
      <c r="E62" s="188">
        <v>1582</v>
      </c>
      <c r="F62" s="188">
        <v>1582</v>
      </c>
      <c r="G62" s="188"/>
      <c r="H62" s="188">
        <v>491.86</v>
      </c>
      <c r="I62" s="210"/>
      <c r="J62" s="210">
        <v>0</v>
      </c>
      <c r="K62" s="188">
        <v>10.45</v>
      </c>
      <c r="L62" s="195">
        <f t="shared" si="6"/>
        <v>1571.55</v>
      </c>
      <c r="M62" s="198">
        <f t="shared" si="3"/>
        <v>1582</v>
      </c>
      <c r="N62" s="192">
        <f t="shared" si="4"/>
        <v>0</v>
      </c>
      <c r="O62" s="10"/>
      <c r="Q62" s="3"/>
      <c r="R62" s="3"/>
      <c r="S62" s="3"/>
      <c r="T62" s="3"/>
      <c r="U62" s="3"/>
    </row>
    <row r="63" spans="1:21" ht="18" customHeight="1" x14ac:dyDescent="0.2">
      <c r="A63" s="186" t="s">
        <v>258</v>
      </c>
      <c r="B63" s="187" t="s">
        <v>259</v>
      </c>
      <c r="C63" s="188">
        <f>+C64+C72+C76+C77</f>
        <v>1997624</v>
      </c>
      <c r="D63" s="188">
        <f>+D64+D72+D73+D76+D77+D78</f>
        <v>488112</v>
      </c>
      <c r="E63" s="188">
        <f>+E64+E71+E72+E73+E74+E75+E76+E77+E79</f>
        <v>2713498</v>
      </c>
      <c r="F63" s="188">
        <f t="shared" ref="F63:K63" si="20">+F64+F71+F72+F73+F74+F75+F76+F77+F79</f>
        <v>2713498</v>
      </c>
      <c r="G63" s="188">
        <f t="shared" si="20"/>
        <v>0</v>
      </c>
      <c r="H63" s="188">
        <f t="shared" ref="H63" si="21">+H64+H71+H72+H73+H74+H75+H76+H77+H79</f>
        <v>1814112.2</v>
      </c>
      <c r="I63" s="188">
        <f t="shared" si="20"/>
        <v>433748.49</v>
      </c>
      <c r="J63" s="188">
        <f>+J64+J72+J76+J77</f>
        <v>0</v>
      </c>
      <c r="K63" s="188">
        <f t="shared" si="20"/>
        <v>2118124.81</v>
      </c>
      <c r="L63" s="188">
        <f t="shared" si="6"/>
        <v>595373.18999999994</v>
      </c>
      <c r="M63" s="189" t="e">
        <f>+M64+M72+#REF!+M76+M77+M78</f>
        <v>#REF!</v>
      </c>
      <c r="N63" s="192">
        <f t="shared" si="4"/>
        <v>15.98484649703077</v>
      </c>
      <c r="O63" s="10"/>
      <c r="Q63" s="3"/>
      <c r="R63" s="3"/>
      <c r="S63" s="3"/>
      <c r="T63" s="3"/>
      <c r="U63" s="3"/>
    </row>
    <row r="64" spans="1:21" ht="12" customHeight="1" x14ac:dyDescent="0.2">
      <c r="A64" s="212">
        <v>300</v>
      </c>
      <c r="B64" s="187" t="s">
        <v>260</v>
      </c>
      <c r="C64" s="210">
        <f>+C65+C67</f>
        <v>35001</v>
      </c>
      <c r="D64" s="210">
        <f>SUM(D67:D67)</f>
        <v>79534</v>
      </c>
      <c r="E64" s="210">
        <f>+E65+E67+E69+E70+E66+E68</f>
        <v>146832</v>
      </c>
      <c r="F64" s="210">
        <f t="shared" ref="F64:G64" si="22">+F65+F67+F69+F70+F66+F68</f>
        <v>146832</v>
      </c>
      <c r="G64" s="210">
        <f t="shared" si="22"/>
        <v>0</v>
      </c>
      <c r="H64" s="210">
        <f t="shared" ref="H64" si="23">+H65+H67+H69+H70+H66+H68</f>
        <v>224026.69999999998</v>
      </c>
      <c r="I64" s="210">
        <f>+I65+I67+I69+I70+I66+I68</f>
        <v>3272.45</v>
      </c>
      <c r="J64" s="210">
        <f t="shared" ref="J64" si="24">+J65+J67+J69+J70+J66</f>
        <v>0</v>
      </c>
      <c r="K64" s="210">
        <f t="shared" ref="K64" si="25">+K65+K67+K69+K70+K66+K68</f>
        <v>75246.45</v>
      </c>
      <c r="L64" s="188">
        <f t="shared" si="6"/>
        <v>71585.55</v>
      </c>
      <c r="M64" s="198">
        <f t="shared" si="3"/>
        <v>143559.54999999999</v>
      </c>
      <c r="N64" s="192">
        <f t="shared" si="4"/>
        <v>2.2287035523591587</v>
      </c>
      <c r="O64" s="10"/>
      <c r="Q64" s="3"/>
      <c r="R64" s="3"/>
      <c r="S64" s="3"/>
      <c r="T64" s="3"/>
      <c r="U64" s="3"/>
    </row>
    <row r="65" spans="1:21" ht="16.5" customHeight="1" x14ac:dyDescent="0.2">
      <c r="A65" s="203">
        <v>301</v>
      </c>
      <c r="B65" s="194" t="s">
        <v>355</v>
      </c>
      <c r="C65" s="197"/>
      <c r="D65" s="197"/>
      <c r="E65" s="197">
        <v>3500</v>
      </c>
      <c r="F65" s="195">
        <v>3500</v>
      </c>
      <c r="G65" s="210"/>
      <c r="H65" s="195">
        <v>2753.11</v>
      </c>
      <c r="I65" s="197">
        <v>342.45</v>
      </c>
      <c r="J65" s="210"/>
      <c r="K65" s="195">
        <v>3156.37</v>
      </c>
      <c r="L65" s="195">
        <f t="shared" si="6"/>
        <v>343.63000000000011</v>
      </c>
      <c r="M65" s="198"/>
      <c r="N65" s="192"/>
      <c r="O65" s="10"/>
      <c r="Q65" s="3"/>
      <c r="R65" s="3"/>
      <c r="S65" s="3"/>
      <c r="T65" s="3"/>
      <c r="U65" s="3"/>
    </row>
    <row r="66" spans="1:21" ht="16.5" customHeight="1" x14ac:dyDescent="0.2">
      <c r="A66" s="203">
        <v>303</v>
      </c>
      <c r="B66" s="194" t="s">
        <v>391</v>
      </c>
      <c r="C66" s="197"/>
      <c r="D66" s="197"/>
      <c r="E66" s="197">
        <v>15500</v>
      </c>
      <c r="F66" s="195">
        <v>15500</v>
      </c>
      <c r="G66" s="210"/>
      <c r="H66" s="195">
        <v>14083.24</v>
      </c>
      <c r="I66" s="197"/>
      <c r="J66" s="210"/>
      <c r="K66" s="195">
        <v>14726.68</v>
      </c>
      <c r="L66" s="195">
        <f t="shared" si="6"/>
        <v>773.31999999999971</v>
      </c>
      <c r="M66" s="198"/>
      <c r="N66" s="192"/>
      <c r="O66" s="10"/>
      <c r="Q66" s="3"/>
      <c r="R66" s="3"/>
      <c r="S66" s="3"/>
      <c r="T66" s="3"/>
      <c r="U66" s="3"/>
    </row>
    <row r="67" spans="1:21" ht="15" customHeight="1" x14ac:dyDescent="0.2">
      <c r="A67" s="203">
        <v>304</v>
      </c>
      <c r="B67" s="194" t="s">
        <v>375</v>
      </c>
      <c r="C67" s="195">
        <v>35001</v>
      </c>
      <c r="D67" s="195">
        <v>79534</v>
      </c>
      <c r="E67" s="195">
        <v>120500</v>
      </c>
      <c r="F67" s="195">
        <v>120500</v>
      </c>
      <c r="G67" s="210"/>
      <c r="H67" s="195">
        <v>202000</v>
      </c>
      <c r="I67" s="197">
        <v>2247</v>
      </c>
      <c r="J67" s="197"/>
      <c r="K67" s="195">
        <v>51547.5</v>
      </c>
      <c r="L67" s="195">
        <f t="shared" si="6"/>
        <v>68952.5</v>
      </c>
      <c r="M67" s="191">
        <f t="shared" si="3"/>
        <v>118253</v>
      </c>
      <c r="N67" s="192">
        <f t="shared" si="4"/>
        <v>1.8647302904564316</v>
      </c>
      <c r="O67" s="10"/>
      <c r="Q67" s="3"/>
      <c r="R67" s="3"/>
      <c r="S67" s="3"/>
      <c r="T67" s="3"/>
      <c r="U67" s="3"/>
    </row>
    <row r="68" spans="1:21" ht="15" customHeight="1" x14ac:dyDescent="0.2">
      <c r="A68" s="203">
        <v>305</v>
      </c>
      <c r="B68" s="194" t="s">
        <v>394</v>
      </c>
      <c r="C68" s="195"/>
      <c r="D68" s="195"/>
      <c r="E68" s="195">
        <v>562</v>
      </c>
      <c r="F68" s="195">
        <v>562</v>
      </c>
      <c r="G68" s="210"/>
      <c r="H68" s="195">
        <v>567</v>
      </c>
      <c r="I68" s="197"/>
      <c r="J68" s="197"/>
      <c r="K68" s="195">
        <v>562</v>
      </c>
      <c r="L68" s="195">
        <f t="shared" si="6"/>
        <v>0</v>
      </c>
      <c r="M68" s="191"/>
      <c r="N68" s="192"/>
      <c r="O68" s="10"/>
      <c r="Q68" s="3"/>
      <c r="R68" s="3"/>
      <c r="S68" s="3"/>
      <c r="T68" s="3"/>
      <c r="U68" s="3"/>
    </row>
    <row r="69" spans="1:21" ht="15" customHeight="1" x14ac:dyDescent="0.2">
      <c r="A69" s="203">
        <v>307</v>
      </c>
      <c r="B69" s="194" t="s">
        <v>386</v>
      </c>
      <c r="C69" s="195"/>
      <c r="D69" s="195"/>
      <c r="E69" s="195">
        <v>1000</v>
      </c>
      <c r="F69" s="195">
        <v>1000</v>
      </c>
      <c r="G69" s="210"/>
      <c r="H69" s="195"/>
      <c r="I69" s="197">
        <v>683</v>
      </c>
      <c r="J69" s="197"/>
      <c r="K69" s="195">
        <v>683.45</v>
      </c>
      <c r="L69" s="195">
        <f t="shared" si="6"/>
        <v>316.54999999999995</v>
      </c>
      <c r="M69" s="191"/>
      <c r="N69" s="192">
        <f t="shared" si="4"/>
        <v>68.3</v>
      </c>
      <c r="O69" s="10"/>
      <c r="Q69" s="3"/>
      <c r="R69" s="3"/>
      <c r="S69" s="3"/>
      <c r="T69" s="3"/>
      <c r="U69" s="3"/>
    </row>
    <row r="70" spans="1:21" ht="15" customHeight="1" x14ac:dyDescent="0.2">
      <c r="A70" s="203">
        <v>308</v>
      </c>
      <c r="B70" s="194" t="s">
        <v>387</v>
      </c>
      <c r="C70" s="195"/>
      <c r="D70" s="195"/>
      <c r="E70" s="195">
        <v>5770</v>
      </c>
      <c r="F70" s="195">
        <v>5770</v>
      </c>
      <c r="G70" s="210"/>
      <c r="H70" s="195">
        <v>4623.3500000000004</v>
      </c>
      <c r="I70" s="197"/>
      <c r="J70" s="197"/>
      <c r="K70" s="195">
        <v>4570.45</v>
      </c>
      <c r="L70" s="195">
        <f t="shared" si="6"/>
        <v>1199.5500000000002</v>
      </c>
      <c r="M70" s="191"/>
      <c r="N70" s="192">
        <f t="shared" si="4"/>
        <v>0</v>
      </c>
      <c r="O70" s="10"/>
      <c r="Q70" s="3"/>
      <c r="R70" s="3"/>
      <c r="S70" s="3"/>
      <c r="T70" s="3"/>
      <c r="U70" s="3"/>
    </row>
    <row r="71" spans="1:21" ht="15" customHeight="1" x14ac:dyDescent="0.2">
      <c r="A71" s="212">
        <v>310</v>
      </c>
      <c r="B71" s="187" t="s">
        <v>351</v>
      </c>
      <c r="C71" s="195"/>
      <c r="D71" s="195"/>
      <c r="E71" s="188">
        <v>340000</v>
      </c>
      <c r="F71" s="188">
        <v>340000</v>
      </c>
      <c r="G71" s="210"/>
      <c r="H71" s="188">
        <v>157507</v>
      </c>
      <c r="I71" s="210"/>
      <c r="J71" s="197"/>
      <c r="K71" s="188">
        <v>152081</v>
      </c>
      <c r="L71" s="188">
        <f t="shared" si="6"/>
        <v>187919</v>
      </c>
      <c r="M71" s="191"/>
      <c r="N71" s="192">
        <f t="shared" si="4"/>
        <v>0</v>
      </c>
      <c r="O71" s="10"/>
      <c r="Q71" s="3"/>
      <c r="R71" s="3"/>
      <c r="S71" s="3"/>
      <c r="T71" s="3"/>
      <c r="U71" s="3"/>
    </row>
    <row r="72" spans="1:21" ht="14.25" customHeight="1" x14ac:dyDescent="0.2">
      <c r="A72" s="212">
        <v>320</v>
      </c>
      <c r="B72" s="201" t="s">
        <v>262</v>
      </c>
      <c r="C72" s="188">
        <v>231387</v>
      </c>
      <c r="D72" s="188">
        <v>-234093</v>
      </c>
      <c r="E72" s="188">
        <v>326673</v>
      </c>
      <c r="F72" s="188">
        <v>326673</v>
      </c>
      <c r="G72" s="210"/>
      <c r="H72" s="188">
        <v>350755.24</v>
      </c>
      <c r="I72" s="210">
        <v>12072.37</v>
      </c>
      <c r="J72" s="210">
        <v>0</v>
      </c>
      <c r="K72" s="188">
        <v>291166</v>
      </c>
      <c r="L72" s="188">
        <f t="shared" si="6"/>
        <v>35507</v>
      </c>
      <c r="M72" s="198">
        <f t="shared" si="3"/>
        <v>314600.63</v>
      </c>
      <c r="N72" s="192">
        <f t="shared" si="4"/>
        <v>3.6955518209340839</v>
      </c>
      <c r="O72" s="11"/>
      <c r="Q72" s="3"/>
      <c r="R72" s="3"/>
      <c r="S72" s="3"/>
      <c r="T72" s="3"/>
      <c r="U72" s="3"/>
    </row>
    <row r="73" spans="1:21" ht="14.25" customHeight="1" x14ac:dyDescent="0.2">
      <c r="A73" s="212">
        <v>330</v>
      </c>
      <c r="B73" s="201" t="s">
        <v>359</v>
      </c>
      <c r="C73" s="188">
        <v>0</v>
      </c>
      <c r="D73" s="188">
        <v>289082</v>
      </c>
      <c r="E73" s="188">
        <v>16500</v>
      </c>
      <c r="F73" s="188">
        <v>16500</v>
      </c>
      <c r="G73" s="210"/>
      <c r="H73" s="188">
        <v>13471</v>
      </c>
      <c r="I73" s="210">
        <v>2300.5</v>
      </c>
      <c r="J73" s="197"/>
      <c r="K73" s="188">
        <v>14329</v>
      </c>
      <c r="L73" s="188">
        <f t="shared" si="6"/>
        <v>2171</v>
      </c>
      <c r="M73" s="198"/>
      <c r="N73" s="192" t="e">
        <f>+#REF!*100/#REF!</f>
        <v>#REF!</v>
      </c>
      <c r="O73" s="11"/>
      <c r="Q73" s="3"/>
      <c r="R73" s="3"/>
      <c r="S73" s="3"/>
      <c r="T73" s="3"/>
      <c r="U73" s="3"/>
    </row>
    <row r="74" spans="1:21" ht="14.25" customHeight="1" x14ac:dyDescent="0.2">
      <c r="A74" s="212">
        <v>340</v>
      </c>
      <c r="B74" s="201" t="s">
        <v>98</v>
      </c>
      <c r="C74" s="188"/>
      <c r="D74" s="188"/>
      <c r="E74" s="188">
        <v>2000</v>
      </c>
      <c r="F74" s="188">
        <v>2000</v>
      </c>
      <c r="G74" s="210"/>
      <c r="H74" s="188"/>
      <c r="I74" s="210">
        <v>1279</v>
      </c>
      <c r="J74" s="210"/>
      <c r="K74" s="188">
        <f t="shared" ref="K74:K95" si="26">+I74+H74</f>
        <v>1279</v>
      </c>
      <c r="L74" s="188">
        <f t="shared" si="6"/>
        <v>721</v>
      </c>
      <c r="M74" s="198"/>
      <c r="N74" s="192"/>
      <c r="O74" s="11"/>
      <c r="Q74" s="3"/>
      <c r="R74" s="3"/>
      <c r="S74" s="3"/>
      <c r="T74" s="3"/>
      <c r="U74" s="3"/>
    </row>
    <row r="75" spans="1:21" ht="14.25" customHeight="1" x14ac:dyDescent="0.2">
      <c r="A75" s="212">
        <v>350</v>
      </c>
      <c r="B75" s="201" t="s">
        <v>264</v>
      </c>
      <c r="C75" s="188">
        <v>0</v>
      </c>
      <c r="D75" s="188"/>
      <c r="E75" s="188">
        <v>92000</v>
      </c>
      <c r="F75" s="188">
        <v>92000</v>
      </c>
      <c r="G75" s="210"/>
      <c r="H75" s="188">
        <v>25712.26</v>
      </c>
      <c r="I75" s="210">
        <v>9353.17</v>
      </c>
      <c r="J75" s="197"/>
      <c r="K75" s="188">
        <v>81249</v>
      </c>
      <c r="L75" s="188">
        <f t="shared" si="6"/>
        <v>10751</v>
      </c>
      <c r="M75" s="191">
        <f t="shared" si="3"/>
        <v>82646.83</v>
      </c>
      <c r="N75" s="192">
        <f t="shared" si="4"/>
        <v>10.166489130434783</v>
      </c>
      <c r="O75" s="10"/>
      <c r="Q75" s="3"/>
      <c r="R75" s="3"/>
      <c r="S75" s="3"/>
      <c r="T75" s="3"/>
      <c r="U75" s="3"/>
    </row>
    <row r="76" spans="1:21" ht="12.75" x14ac:dyDescent="0.2">
      <c r="A76" s="212">
        <v>370</v>
      </c>
      <c r="B76" s="201" t="s">
        <v>265</v>
      </c>
      <c r="C76" s="188">
        <v>978130</v>
      </c>
      <c r="D76" s="188">
        <v>101650</v>
      </c>
      <c r="E76" s="188">
        <v>888080</v>
      </c>
      <c r="F76" s="188">
        <v>888080</v>
      </c>
      <c r="G76" s="210"/>
      <c r="H76" s="188">
        <v>608988</v>
      </c>
      <c r="I76" s="210">
        <v>155464</v>
      </c>
      <c r="J76" s="210">
        <v>0</v>
      </c>
      <c r="K76" s="188">
        <v>737450.36</v>
      </c>
      <c r="L76" s="188">
        <f t="shared" ref="L76:L96" si="27">+F76-K76</f>
        <v>150629.64000000001</v>
      </c>
      <c r="M76" s="198">
        <f t="shared" si="3"/>
        <v>732616</v>
      </c>
      <c r="N76" s="192">
        <f t="shared" si="4"/>
        <v>17.505630123412306</v>
      </c>
      <c r="O76" s="10" t="s">
        <v>2</v>
      </c>
      <c r="Q76" s="3"/>
      <c r="R76" s="3"/>
      <c r="S76" s="3"/>
      <c r="T76" s="3"/>
      <c r="U76" s="3"/>
    </row>
    <row r="77" spans="1:21" ht="12.75" x14ac:dyDescent="0.2">
      <c r="A77" s="212">
        <v>380</v>
      </c>
      <c r="B77" s="201" t="s">
        <v>266</v>
      </c>
      <c r="C77" s="188">
        <v>753106</v>
      </c>
      <c r="D77" s="188">
        <v>244089</v>
      </c>
      <c r="E77" s="188">
        <v>897968</v>
      </c>
      <c r="F77" s="188">
        <v>897968</v>
      </c>
      <c r="G77" s="210"/>
      <c r="H77" s="188">
        <v>433652</v>
      </c>
      <c r="I77" s="210">
        <v>250007</v>
      </c>
      <c r="J77" s="210">
        <v>0</v>
      </c>
      <c r="K77" s="188">
        <v>761879</v>
      </c>
      <c r="L77" s="188">
        <f t="shared" si="27"/>
        <v>136089</v>
      </c>
      <c r="M77" s="198">
        <f t="shared" si="3"/>
        <v>647961</v>
      </c>
      <c r="N77" s="192">
        <f t="shared" si="4"/>
        <v>27.841415284286299</v>
      </c>
      <c r="O77" s="10"/>
      <c r="Q77" s="3"/>
      <c r="R77" s="3"/>
      <c r="S77" s="3"/>
      <c r="T77" s="3"/>
      <c r="U77" s="3"/>
    </row>
    <row r="78" spans="1:21" ht="14.25" hidden="1" customHeight="1" x14ac:dyDescent="0.2">
      <c r="A78" s="212">
        <v>390</v>
      </c>
      <c r="B78" s="201" t="s">
        <v>334</v>
      </c>
      <c r="C78" s="188"/>
      <c r="D78" s="188">
        <v>7850</v>
      </c>
      <c r="E78" s="188"/>
      <c r="F78" s="188">
        <v>0</v>
      </c>
      <c r="G78" s="197"/>
      <c r="H78" s="188"/>
      <c r="I78" s="210"/>
      <c r="J78" s="197"/>
      <c r="K78" s="188">
        <f t="shared" si="26"/>
        <v>0</v>
      </c>
      <c r="L78" s="195">
        <f t="shared" si="27"/>
        <v>0</v>
      </c>
      <c r="M78" s="198">
        <f>+E78-I78</f>
        <v>0</v>
      </c>
      <c r="N78" s="192" t="e">
        <f t="shared" si="4"/>
        <v>#DIV/0!</v>
      </c>
      <c r="O78" s="10"/>
      <c r="Q78" s="3"/>
      <c r="R78" s="3"/>
      <c r="S78" s="3"/>
      <c r="T78" s="3"/>
      <c r="U78" s="3"/>
    </row>
    <row r="79" spans="1:21" ht="14.25" customHeight="1" x14ac:dyDescent="0.2">
      <c r="A79" s="212">
        <v>390</v>
      </c>
      <c r="B79" s="201" t="s">
        <v>379</v>
      </c>
      <c r="C79" s="188"/>
      <c r="D79" s="188"/>
      <c r="E79" s="188">
        <v>3445</v>
      </c>
      <c r="F79" s="188">
        <v>3445</v>
      </c>
      <c r="G79" s="197"/>
      <c r="H79" s="188"/>
      <c r="I79" s="210"/>
      <c r="J79" s="197"/>
      <c r="K79" s="188">
        <v>3445</v>
      </c>
      <c r="L79" s="195">
        <f t="shared" si="27"/>
        <v>0</v>
      </c>
      <c r="M79" s="198"/>
      <c r="N79" s="192"/>
      <c r="O79" s="10"/>
      <c r="Q79" s="3"/>
      <c r="R79" s="3"/>
      <c r="S79" s="3"/>
      <c r="T79" s="3"/>
      <c r="U79" s="3"/>
    </row>
    <row r="80" spans="1:21" ht="18" customHeight="1" x14ac:dyDescent="0.2">
      <c r="A80" s="212">
        <v>4</v>
      </c>
      <c r="B80" s="201" t="s">
        <v>396</v>
      </c>
      <c r="C80" s="188"/>
      <c r="D80" s="188"/>
      <c r="E80" s="188">
        <f>+E81</f>
        <v>262.92</v>
      </c>
      <c r="F80" s="188">
        <f>+F81</f>
        <v>262.92</v>
      </c>
      <c r="G80" s="197"/>
      <c r="H80" s="188">
        <f>+H81</f>
        <v>0</v>
      </c>
      <c r="I80" s="210">
        <f>+I81</f>
        <v>262.92</v>
      </c>
      <c r="J80" s="197"/>
      <c r="K80" s="188">
        <f t="shared" si="26"/>
        <v>262.92</v>
      </c>
      <c r="L80" s="188">
        <f t="shared" si="27"/>
        <v>0</v>
      </c>
      <c r="M80" s="198"/>
      <c r="N80" s="192"/>
      <c r="O80" s="10"/>
      <c r="Q80" s="3"/>
      <c r="R80" s="3"/>
      <c r="S80" s="3"/>
      <c r="T80" s="3"/>
      <c r="U80" s="3"/>
    </row>
    <row r="81" spans="1:21" ht="12.75" customHeight="1" x14ac:dyDescent="0.2">
      <c r="A81" s="212">
        <v>400</v>
      </c>
      <c r="B81" s="201" t="s">
        <v>397</v>
      </c>
      <c r="C81" s="188"/>
      <c r="D81" s="188"/>
      <c r="E81" s="188">
        <v>262.92</v>
      </c>
      <c r="F81" s="188">
        <v>262.92</v>
      </c>
      <c r="G81" s="197"/>
      <c r="H81" s="188"/>
      <c r="I81" s="210">
        <v>262.92</v>
      </c>
      <c r="J81" s="197"/>
      <c r="K81" s="188">
        <v>263</v>
      </c>
      <c r="L81" s="188">
        <f t="shared" si="27"/>
        <v>-7.9999999999984084E-2</v>
      </c>
      <c r="M81" s="198"/>
      <c r="N81" s="192"/>
      <c r="O81" s="10"/>
      <c r="Q81" s="3"/>
      <c r="R81" s="3"/>
      <c r="S81" s="3"/>
      <c r="T81" s="3"/>
      <c r="U81" s="3"/>
    </row>
    <row r="82" spans="1:21" ht="17.25" customHeight="1" x14ac:dyDescent="0.2">
      <c r="A82" s="212">
        <v>5</v>
      </c>
      <c r="B82" s="201" t="s">
        <v>341</v>
      </c>
      <c r="C82" s="188" t="e">
        <f>+C83+C85+#REF!</f>
        <v>#REF!</v>
      </c>
      <c r="D82" s="188">
        <f>+D83+D85</f>
        <v>248032</v>
      </c>
      <c r="E82" s="188">
        <f>+E83+E85+E87</f>
        <v>20168515</v>
      </c>
      <c r="F82" s="188">
        <f>+F83+F85+F87</f>
        <v>20168515</v>
      </c>
      <c r="G82" s="188" t="e">
        <f>+G83+G85+#REF!+G87</f>
        <v>#REF!</v>
      </c>
      <c r="H82" s="188" t="e">
        <f>+H83+H85+#REF!+H87</f>
        <v>#REF!</v>
      </c>
      <c r="I82" s="188" t="e">
        <f>+I83+I85+#REF!+I87</f>
        <v>#REF!</v>
      </c>
      <c r="J82" s="188" t="e">
        <f>+J83+J85+#REF!+J87</f>
        <v>#REF!</v>
      </c>
      <c r="K82" s="188">
        <f>+K83+K85+K87</f>
        <v>20168514.32</v>
      </c>
      <c r="L82" s="188">
        <f t="shared" si="27"/>
        <v>0.67999999970197678</v>
      </c>
      <c r="M82" s="198" t="e">
        <f t="shared" si="3"/>
        <v>#REF!</v>
      </c>
      <c r="N82" s="192" t="e">
        <f t="shared" si="4"/>
        <v>#REF!</v>
      </c>
      <c r="O82" s="10"/>
      <c r="Q82" s="3"/>
      <c r="R82" s="3"/>
      <c r="S82" s="3"/>
      <c r="T82" s="3"/>
      <c r="U82" s="3"/>
    </row>
    <row r="83" spans="1:21" ht="12" customHeight="1" x14ac:dyDescent="0.2">
      <c r="A83" s="212">
        <v>500</v>
      </c>
      <c r="B83" s="201" t="s">
        <v>344</v>
      </c>
      <c r="C83" s="188">
        <f>SUM(C84)</f>
        <v>0</v>
      </c>
      <c r="D83" s="201">
        <f>SUM(D84)</f>
        <v>135613</v>
      </c>
      <c r="E83" s="188">
        <f>SUM(E84)</f>
        <v>29430</v>
      </c>
      <c r="F83" s="188">
        <f>+F84</f>
        <v>29430</v>
      </c>
      <c r="G83" s="188"/>
      <c r="H83" s="188">
        <f>+H84</f>
        <v>0</v>
      </c>
      <c r="I83" s="188">
        <f>+I84</f>
        <v>29429.87</v>
      </c>
      <c r="J83" s="188">
        <f>+J84</f>
        <v>0</v>
      </c>
      <c r="K83" s="188">
        <f>+K84</f>
        <v>29429.87</v>
      </c>
      <c r="L83" s="188">
        <f t="shared" si="27"/>
        <v>0.13000000000101863</v>
      </c>
      <c r="M83" s="198">
        <f t="shared" si="3"/>
        <v>0.13000000000101863</v>
      </c>
      <c r="N83" s="192">
        <f t="shared" si="4"/>
        <v>99.999558273870207</v>
      </c>
      <c r="O83" s="10"/>
      <c r="Q83" s="3"/>
      <c r="R83" s="3"/>
      <c r="S83" s="3"/>
      <c r="T83" s="3"/>
      <c r="U83" s="3"/>
    </row>
    <row r="84" spans="1:21" ht="15" customHeight="1" x14ac:dyDescent="0.2">
      <c r="A84" s="203">
        <v>502</v>
      </c>
      <c r="B84" s="196" t="s">
        <v>343</v>
      </c>
      <c r="C84" s="195">
        <v>0</v>
      </c>
      <c r="D84" s="195">
        <v>135613</v>
      </c>
      <c r="E84" s="195">
        <v>29430</v>
      </c>
      <c r="F84" s="195">
        <v>29430</v>
      </c>
      <c r="G84" s="195"/>
      <c r="H84" s="195">
        <v>0</v>
      </c>
      <c r="I84" s="195">
        <v>29429.87</v>
      </c>
      <c r="J84" s="195">
        <v>0</v>
      </c>
      <c r="K84" s="195">
        <v>29429.87</v>
      </c>
      <c r="L84" s="195">
        <f t="shared" si="27"/>
        <v>0.13000000000101863</v>
      </c>
      <c r="M84" s="191">
        <f t="shared" si="3"/>
        <v>0.13000000000101863</v>
      </c>
      <c r="N84" s="211">
        <f t="shared" si="4"/>
        <v>99.999558273870207</v>
      </c>
      <c r="O84" s="10"/>
      <c r="Q84" s="3"/>
      <c r="R84" s="3"/>
      <c r="S84" s="3"/>
      <c r="T84" s="3"/>
      <c r="U84" s="3"/>
    </row>
    <row r="85" spans="1:21" ht="12.75" x14ac:dyDescent="0.2">
      <c r="A85" s="212">
        <v>510</v>
      </c>
      <c r="B85" s="201" t="s">
        <v>342</v>
      </c>
      <c r="C85" s="188">
        <f>+C86</f>
        <v>23434226</v>
      </c>
      <c r="D85" s="188">
        <f t="shared" ref="D85:J85" si="28">+D86</f>
        <v>112419</v>
      </c>
      <c r="E85" s="188">
        <f>SUM(E86)</f>
        <v>20129087</v>
      </c>
      <c r="F85" s="188">
        <f>+F86</f>
        <v>20129087</v>
      </c>
      <c r="G85" s="188"/>
      <c r="H85" s="188">
        <f>+H86</f>
        <v>125000</v>
      </c>
      <c r="I85" s="188">
        <f t="shared" si="28"/>
        <v>9567751.3300000001</v>
      </c>
      <c r="J85" s="188">
        <f t="shared" si="28"/>
        <v>0</v>
      </c>
      <c r="K85" s="188">
        <f>+K86</f>
        <v>20129087</v>
      </c>
      <c r="L85" s="188">
        <f t="shared" si="27"/>
        <v>0</v>
      </c>
      <c r="M85" s="191">
        <f t="shared" si="3"/>
        <v>10561335.67</v>
      </c>
      <c r="N85" s="192">
        <f t="shared" si="4"/>
        <v>47.531968687899258</v>
      </c>
      <c r="O85" s="10"/>
      <c r="Q85" s="3"/>
      <c r="R85" s="3"/>
      <c r="S85" s="3"/>
      <c r="T85" s="3"/>
      <c r="U85" s="3"/>
    </row>
    <row r="86" spans="1:21" ht="12.75" x14ac:dyDescent="0.2">
      <c r="A86" s="203">
        <v>512</v>
      </c>
      <c r="B86" s="196" t="s">
        <v>343</v>
      </c>
      <c r="C86" s="195">
        <v>23434226</v>
      </c>
      <c r="D86" s="195">
        <v>112419</v>
      </c>
      <c r="E86" s="195">
        <v>20129087</v>
      </c>
      <c r="F86" s="195">
        <v>20129087</v>
      </c>
      <c r="G86" s="197"/>
      <c r="H86" s="195">
        <v>125000</v>
      </c>
      <c r="I86" s="197">
        <v>9567751.3300000001</v>
      </c>
      <c r="J86" s="197">
        <v>0</v>
      </c>
      <c r="K86" s="195">
        <v>20129087</v>
      </c>
      <c r="L86" s="195">
        <f t="shared" si="27"/>
        <v>0</v>
      </c>
      <c r="M86" s="191">
        <f t="shared" si="3"/>
        <v>10561335.67</v>
      </c>
      <c r="N86" s="211">
        <f t="shared" si="4"/>
        <v>47.531968687899258</v>
      </c>
      <c r="O86" s="10"/>
      <c r="Q86" s="3"/>
      <c r="R86" s="3"/>
      <c r="S86" s="3"/>
      <c r="T86" s="3"/>
      <c r="U86" s="3"/>
    </row>
    <row r="87" spans="1:21" ht="12.75" x14ac:dyDescent="0.2">
      <c r="A87" s="212">
        <v>520</v>
      </c>
      <c r="B87" s="201" t="s">
        <v>406</v>
      </c>
      <c r="C87" s="195"/>
      <c r="D87" s="195"/>
      <c r="E87" s="188">
        <f>+E88</f>
        <v>9998</v>
      </c>
      <c r="F87" s="188">
        <f>+F88</f>
        <v>9998</v>
      </c>
      <c r="G87" s="210"/>
      <c r="H87" s="188"/>
      <c r="I87" s="210"/>
      <c r="J87" s="210"/>
      <c r="K87" s="188">
        <f>+K88</f>
        <v>9997.4500000000007</v>
      </c>
      <c r="L87" s="188">
        <f t="shared" si="27"/>
        <v>0.5499999999992724</v>
      </c>
      <c r="M87" s="191"/>
      <c r="N87" s="211"/>
      <c r="O87" s="10"/>
      <c r="Q87" s="3"/>
      <c r="R87" s="3"/>
      <c r="S87" s="3"/>
      <c r="T87" s="3"/>
      <c r="U87" s="3"/>
    </row>
    <row r="88" spans="1:21" ht="12.75" x14ac:dyDescent="0.2">
      <c r="A88" s="203">
        <v>523</v>
      </c>
      <c r="B88" s="196" t="s">
        <v>407</v>
      </c>
      <c r="C88" s="195"/>
      <c r="D88" s="195"/>
      <c r="E88" s="195">
        <v>9998</v>
      </c>
      <c r="F88" s="195">
        <v>9998</v>
      </c>
      <c r="G88" s="197"/>
      <c r="H88" s="195"/>
      <c r="I88" s="197"/>
      <c r="J88" s="197"/>
      <c r="K88" s="195">
        <v>9997.4500000000007</v>
      </c>
      <c r="L88" s="195">
        <f t="shared" si="27"/>
        <v>0.5499999999992724</v>
      </c>
      <c r="M88" s="191"/>
      <c r="N88" s="211"/>
      <c r="O88" s="10"/>
      <c r="Q88" s="3"/>
      <c r="R88" s="3"/>
      <c r="S88" s="3"/>
      <c r="T88" s="3"/>
      <c r="U88" s="3"/>
    </row>
    <row r="89" spans="1:21" ht="20.25" customHeight="1" x14ac:dyDescent="0.2">
      <c r="A89" s="186" t="s">
        <v>272</v>
      </c>
      <c r="B89" s="187" t="s">
        <v>273</v>
      </c>
      <c r="C89" s="188">
        <f>+C90+C92+C94</f>
        <v>262213</v>
      </c>
      <c r="D89" s="188">
        <f t="shared" ref="D89:M90" si="29">+D90</f>
        <v>-6360</v>
      </c>
      <c r="E89" s="188">
        <f>+E90+E92+E94</f>
        <v>3000</v>
      </c>
      <c r="F89" s="188">
        <f>+F90+F92+F94</f>
        <v>3000</v>
      </c>
      <c r="G89" s="188">
        <f t="shared" ref="G89:J89" si="30">+G90+G92+G94</f>
        <v>0</v>
      </c>
      <c r="H89" s="188">
        <f>+H90+H92+H94</f>
        <v>0</v>
      </c>
      <c r="I89" s="188">
        <f t="shared" si="30"/>
        <v>0</v>
      </c>
      <c r="J89" s="188">
        <f t="shared" si="30"/>
        <v>0</v>
      </c>
      <c r="K89" s="188">
        <f t="shared" si="26"/>
        <v>0</v>
      </c>
      <c r="L89" s="195">
        <f t="shared" si="27"/>
        <v>3000</v>
      </c>
      <c r="M89" s="189">
        <f t="shared" si="29"/>
        <v>0</v>
      </c>
      <c r="N89" s="192"/>
      <c r="O89" s="10"/>
      <c r="Q89" s="3"/>
      <c r="R89" s="3"/>
      <c r="S89" s="3"/>
      <c r="T89" s="3"/>
      <c r="U89" s="3"/>
    </row>
    <row r="90" spans="1:21" ht="14.25" customHeight="1" x14ac:dyDescent="0.2">
      <c r="A90" s="200" t="s">
        <v>277</v>
      </c>
      <c r="B90" s="201" t="s">
        <v>130</v>
      </c>
      <c r="C90" s="188">
        <f>+C91</f>
        <v>28900</v>
      </c>
      <c r="D90" s="188">
        <f t="shared" si="29"/>
        <v>-6360</v>
      </c>
      <c r="E90" s="188">
        <f>+E91</f>
        <v>0</v>
      </c>
      <c r="F90" s="188">
        <f t="shared" si="29"/>
        <v>0</v>
      </c>
      <c r="G90" s="188"/>
      <c r="H90" s="188">
        <f t="shared" si="29"/>
        <v>0</v>
      </c>
      <c r="I90" s="188"/>
      <c r="J90" s="188">
        <f t="shared" si="29"/>
        <v>0</v>
      </c>
      <c r="K90" s="188">
        <f t="shared" si="26"/>
        <v>0</v>
      </c>
      <c r="L90" s="195">
        <f t="shared" si="27"/>
        <v>0</v>
      </c>
      <c r="M90" s="189">
        <f t="shared" si="29"/>
        <v>0</v>
      </c>
      <c r="N90" s="192"/>
      <c r="O90" s="10"/>
      <c r="Q90" s="3"/>
      <c r="R90" s="3"/>
      <c r="S90" s="3"/>
      <c r="T90" s="3"/>
      <c r="U90" s="3"/>
    </row>
    <row r="91" spans="1:21" ht="15" customHeight="1" x14ac:dyDescent="0.2">
      <c r="A91" s="203">
        <v>619</v>
      </c>
      <c r="B91" s="196" t="s">
        <v>321</v>
      </c>
      <c r="C91" s="195">
        <v>28900</v>
      </c>
      <c r="D91" s="195">
        <v>-6360</v>
      </c>
      <c r="E91" s="195">
        <v>0</v>
      </c>
      <c r="F91" s="195">
        <v>0</v>
      </c>
      <c r="G91" s="197"/>
      <c r="H91" s="195"/>
      <c r="I91" s="197"/>
      <c r="J91" s="197">
        <v>0</v>
      </c>
      <c r="K91" s="188">
        <f t="shared" si="26"/>
        <v>0</v>
      </c>
      <c r="L91" s="195">
        <f t="shared" si="27"/>
        <v>0</v>
      </c>
      <c r="M91" s="191">
        <f t="shared" si="3"/>
        <v>0</v>
      </c>
      <c r="N91" s="192"/>
      <c r="O91" s="10"/>
      <c r="Q91" s="3"/>
      <c r="R91" s="3"/>
      <c r="S91" s="3"/>
      <c r="T91" s="3"/>
      <c r="U91" s="3"/>
    </row>
    <row r="92" spans="1:21" ht="14.25" customHeight="1" x14ac:dyDescent="0.2">
      <c r="A92" s="212">
        <v>620</v>
      </c>
      <c r="B92" s="201" t="s">
        <v>353</v>
      </c>
      <c r="C92" s="188">
        <f>+C93</f>
        <v>158313</v>
      </c>
      <c r="D92" s="195"/>
      <c r="E92" s="188">
        <f>+E93</f>
        <v>3000</v>
      </c>
      <c r="F92" s="188">
        <f t="shared" ref="F92:J92" si="31">+F93</f>
        <v>3000</v>
      </c>
      <c r="G92" s="188">
        <f t="shared" si="31"/>
        <v>0</v>
      </c>
      <c r="H92" s="188">
        <f t="shared" si="31"/>
        <v>0</v>
      </c>
      <c r="I92" s="188">
        <f t="shared" si="31"/>
        <v>0</v>
      </c>
      <c r="J92" s="188">
        <f t="shared" si="31"/>
        <v>0</v>
      </c>
      <c r="K92" s="188">
        <f t="shared" si="26"/>
        <v>0</v>
      </c>
      <c r="L92" s="188">
        <f t="shared" si="27"/>
        <v>3000</v>
      </c>
      <c r="M92" s="191"/>
      <c r="N92" s="192"/>
      <c r="O92" s="10"/>
      <c r="Q92" s="3"/>
      <c r="R92" s="3"/>
      <c r="S92" s="3"/>
      <c r="T92" s="3"/>
      <c r="U92" s="3"/>
    </row>
    <row r="93" spans="1:21" ht="12.75" customHeight="1" x14ac:dyDescent="0.2">
      <c r="A93" s="203">
        <v>624</v>
      </c>
      <c r="B93" s="196" t="s">
        <v>354</v>
      </c>
      <c r="C93" s="195">
        <v>158313</v>
      </c>
      <c r="D93" s="195"/>
      <c r="E93" s="195">
        <v>3000</v>
      </c>
      <c r="F93" s="195">
        <v>3000</v>
      </c>
      <c r="G93" s="197"/>
      <c r="H93" s="195"/>
      <c r="I93" s="197"/>
      <c r="J93" s="197"/>
      <c r="K93" s="188">
        <f t="shared" si="26"/>
        <v>0</v>
      </c>
      <c r="L93" s="195">
        <f t="shared" si="27"/>
        <v>3000</v>
      </c>
      <c r="M93" s="191"/>
      <c r="N93" s="192"/>
      <c r="O93" s="10"/>
      <c r="Q93" s="3"/>
      <c r="R93" s="3"/>
      <c r="S93" s="3"/>
      <c r="T93" s="3"/>
      <c r="U93" s="3"/>
    </row>
    <row r="94" spans="1:21" ht="12.75" customHeight="1" x14ac:dyDescent="0.2">
      <c r="A94" s="212">
        <v>630</v>
      </c>
      <c r="B94" s="201" t="s">
        <v>376</v>
      </c>
      <c r="C94" s="188">
        <f>+C95</f>
        <v>75000</v>
      </c>
      <c r="D94" s="188"/>
      <c r="E94" s="188">
        <f>+E95</f>
        <v>0</v>
      </c>
      <c r="F94" s="188">
        <f>+F95</f>
        <v>0</v>
      </c>
      <c r="G94" s="210"/>
      <c r="H94" s="188">
        <f>+H95</f>
        <v>0</v>
      </c>
      <c r="I94" s="210"/>
      <c r="J94" s="210"/>
      <c r="K94" s="188">
        <f t="shared" si="26"/>
        <v>0</v>
      </c>
      <c r="L94" s="195">
        <f t="shared" si="27"/>
        <v>0</v>
      </c>
      <c r="M94" s="191"/>
      <c r="N94" s="192"/>
      <c r="O94" s="10"/>
      <c r="Q94" s="3"/>
      <c r="R94" s="3"/>
      <c r="S94" s="3"/>
      <c r="T94" s="3"/>
      <c r="U94" s="3"/>
    </row>
    <row r="95" spans="1:21" ht="12.75" customHeight="1" x14ac:dyDescent="0.2">
      <c r="A95" s="203">
        <v>632</v>
      </c>
      <c r="B95" s="196" t="s">
        <v>377</v>
      </c>
      <c r="C95" s="195">
        <v>75000</v>
      </c>
      <c r="D95" s="195"/>
      <c r="E95" s="195">
        <v>0</v>
      </c>
      <c r="F95" s="195">
        <v>0</v>
      </c>
      <c r="G95" s="197"/>
      <c r="H95" s="195"/>
      <c r="I95" s="197"/>
      <c r="J95" s="197"/>
      <c r="K95" s="188">
        <f t="shared" si="26"/>
        <v>0</v>
      </c>
      <c r="L95" s="195">
        <f>+F95-K95</f>
        <v>0</v>
      </c>
      <c r="M95" s="191"/>
      <c r="N95" s="192"/>
      <c r="O95" s="10"/>
      <c r="Q95" s="3"/>
      <c r="R95" s="3"/>
      <c r="S95" s="3"/>
      <c r="T95" s="3"/>
      <c r="U95" s="3"/>
    </row>
    <row r="96" spans="1:21" ht="23.25" customHeight="1" x14ac:dyDescent="0.2">
      <c r="A96" s="213" t="s">
        <v>2</v>
      </c>
      <c r="B96" s="214" t="s">
        <v>345</v>
      </c>
      <c r="C96" s="215" t="e">
        <f>+C89+C82+C63+C33+C18+C9</f>
        <v>#REF!</v>
      </c>
      <c r="D96" s="215" t="e">
        <f>+D89+D82+D63+D33+D18+D9</f>
        <v>#REF!</v>
      </c>
      <c r="E96" s="215">
        <f>+E89+E82+E63+E33+E18+E9+E80</f>
        <v>23508527.720000003</v>
      </c>
      <c r="F96" s="215">
        <f>+F89+F82+F63+F33+F18+F9+F80</f>
        <v>23507243.680000003</v>
      </c>
      <c r="G96" s="215" t="e">
        <f>+G89+G82+G63+G33+G18+G9+G80</f>
        <v>#REF!</v>
      </c>
      <c r="H96" s="215" t="e">
        <f>+H89+H82+H63+H33+H18+H9+H80</f>
        <v>#REF!</v>
      </c>
      <c r="I96" s="215" t="e">
        <f>+I89+I82+I63+I33+I18+I9+I80</f>
        <v>#REF!</v>
      </c>
      <c r="J96" s="215" t="e">
        <f>+J9+J18+J63+J82</f>
        <v>#REF!</v>
      </c>
      <c r="K96" s="215">
        <f>+K89+K82+K63+K33+K18+K9+K80</f>
        <v>22541326.489999998</v>
      </c>
      <c r="L96" s="216">
        <f t="shared" si="27"/>
        <v>965917.19000000507</v>
      </c>
      <c r="M96" s="217" t="e">
        <f>+M89+M82+M63+M33+M18+M9</f>
        <v>#REF!</v>
      </c>
      <c r="N96" s="218" t="e">
        <f t="shared" si="4"/>
        <v>#REF!</v>
      </c>
      <c r="O96" s="10"/>
      <c r="Q96" s="3"/>
      <c r="R96" s="3"/>
      <c r="S96" s="3"/>
      <c r="T96" s="3"/>
      <c r="U96" s="3"/>
    </row>
    <row r="97" spans="1:21" x14ac:dyDescent="0.25">
      <c r="A97" s="219"/>
      <c r="B97" s="220"/>
      <c r="C97" s="221"/>
      <c r="D97" s="221"/>
      <c r="E97" s="221"/>
      <c r="F97" s="221"/>
      <c r="G97" s="221"/>
      <c r="H97" s="221"/>
      <c r="I97" s="221"/>
      <c r="J97" s="221"/>
      <c r="K97" s="221"/>
      <c r="L97" s="221"/>
      <c r="M97" s="222"/>
      <c r="N97" s="223"/>
      <c r="O97" s="13"/>
      <c r="Q97" s="3"/>
      <c r="R97" s="3"/>
      <c r="S97" s="3"/>
      <c r="T97" s="3"/>
      <c r="U97" s="3"/>
    </row>
    <row r="98" spans="1:21" x14ac:dyDescent="0.25">
      <c r="A98" s="14"/>
      <c r="B98" s="17"/>
      <c r="Q98" s="3"/>
      <c r="R98" s="3"/>
      <c r="S98" s="3"/>
      <c r="T98" s="3"/>
      <c r="U98" s="3"/>
    </row>
    <row r="99" spans="1:21" x14ac:dyDescent="0.25">
      <c r="A99" s="14"/>
      <c r="B99" s="17"/>
      <c r="Q99" s="3"/>
      <c r="R99" s="3"/>
      <c r="S99" s="3"/>
      <c r="T99" s="3"/>
      <c r="U99" s="3"/>
    </row>
    <row r="100" spans="1:21" x14ac:dyDescent="0.25">
      <c r="A100" s="14"/>
      <c r="B100" s="17"/>
      <c r="I100" s="1"/>
    </row>
    <row r="101" spans="1:21" x14ac:dyDescent="0.25">
      <c r="A101" s="14"/>
      <c r="B101" s="17"/>
    </row>
    <row r="102" spans="1:21" x14ac:dyDescent="0.25">
      <c r="A102" s="14"/>
      <c r="B102" s="17"/>
    </row>
    <row r="103" spans="1:21" x14ac:dyDescent="0.25">
      <c r="A103" s="14"/>
      <c r="B103" s="17"/>
    </row>
    <row r="104" spans="1:21" x14ac:dyDescent="0.25">
      <c r="A104" s="14"/>
      <c r="B104" s="17"/>
    </row>
    <row r="105" spans="1:21" x14ac:dyDescent="0.25">
      <c r="A105" s="14"/>
      <c r="B105" s="17"/>
    </row>
    <row r="106" spans="1:21" x14ac:dyDescent="0.25">
      <c r="A106" s="14"/>
      <c r="B106" s="17"/>
    </row>
    <row r="107" spans="1:21" x14ac:dyDescent="0.25">
      <c r="A107" s="14"/>
      <c r="B107" s="17"/>
    </row>
    <row r="108" spans="1:21" x14ac:dyDescent="0.25">
      <c r="A108" s="14"/>
      <c r="B108" s="17"/>
    </row>
    <row r="109" spans="1:21" x14ac:dyDescent="0.25">
      <c r="A109" s="14"/>
      <c r="B109" s="17"/>
    </row>
    <row r="110" spans="1:21" x14ac:dyDescent="0.25">
      <c r="A110" s="14"/>
      <c r="B110" s="17"/>
    </row>
    <row r="111" spans="1:21" x14ac:dyDescent="0.25">
      <c r="A111" s="14"/>
      <c r="B111" s="17"/>
    </row>
    <row r="112" spans="1:21" x14ac:dyDescent="0.25">
      <c r="A112" s="14"/>
      <c r="B112" s="17"/>
    </row>
    <row r="113" spans="1:13" x14ac:dyDescent="0.25">
      <c r="A113" s="14"/>
      <c r="B113" s="17"/>
    </row>
    <row r="114" spans="1:13" x14ac:dyDescent="0.25">
      <c r="A114" s="14"/>
      <c r="B114" s="17"/>
    </row>
    <row r="115" spans="1:13" x14ac:dyDescent="0.25">
      <c r="A115" s="14"/>
      <c r="B115" s="17"/>
    </row>
    <row r="116" spans="1:13" x14ac:dyDescent="0.25">
      <c r="A116" s="14"/>
      <c r="B116" s="17"/>
    </row>
    <row r="117" spans="1:13" x14ac:dyDescent="0.25">
      <c r="A117" s="14"/>
      <c r="B117" s="17"/>
    </row>
    <row r="118" spans="1:13" x14ac:dyDescent="0.25">
      <c r="A118" s="14"/>
      <c r="B118" s="17"/>
    </row>
    <row r="119" spans="1:13" x14ac:dyDescent="0.25">
      <c r="A119" s="328"/>
      <c r="B119" s="17"/>
    </row>
    <row r="120" spans="1:13" x14ac:dyDescent="0.25">
      <c r="A120" s="328"/>
      <c r="B120" s="17"/>
    </row>
    <row r="121" spans="1:13" x14ac:dyDescent="0.25">
      <c r="A121" s="14"/>
      <c r="B121" s="17"/>
    </row>
    <row r="122" spans="1:13" x14ac:dyDescent="0.25">
      <c r="A122" s="14"/>
      <c r="B122" s="17"/>
    </row>
    <row r="123" spans="1:13" x14ac:dyDescent="0.25">
      <c r="A123" s="18"/>
      <c r="B123" s="17"/>
    </row>
    <row r="124" spans="1:13" x14ac:dyDescent="0.25">
      <c r="A124" s="18"/>
      <c r="B124" s="17"/>
    </row>
    <row r="125" spans="1:13" x14ac:dyDescent="0.25">
      <c r="A125" s="18"/>
      <c r="B125" s="17"/>
    </row>
    <row r="126" spans="1:13" x14ac:dyDescent="0.25">
      <c r="A126" s="18"/>
      <c r="B126" s="17"/>
    </row>
    <row r="127" spans="1:13" ht="14.25" thickBot="1" x14ac:dyDescent="0.3">
      <c r="A127" s="14"/>
      <c r="B127" s="17"/>
    </row>
    <row r="128" spans="1:13" ht="14.25" thickTop="1" x14ac:dyDescent="0.25">
      <c r="A128" s="14"/>
      <c r="B128" s="15"/>
      <c r="C128" s="19"/>
      <c r="D128" s="12"/>
      <c r="E128" s="12"/>
      <c r="F128" s="12"/>
      <c r="G128" s="12"/>
      <c r="H128" s="12"/>
      <c r="I128" s="12"/>
      <c r="J128" s="12"/>
      <c r="K128" s="12"/>
      <c r="L128" s="12"/>
      <c r="M128" s="16"/>
    </row>
    <row r="129" spans="1:13" x14ac:dyDescent="0.25">
      <c r="A129" s="4"/>
      <c r="B129" s="2"/>
      <c r="C129" s="4"/>
      <c r="D129" s="4"/>
      <c r="E129" s="4"/>
      <c r="F129" s="4"/>
      <c r="G129" s="28"/>
      <c r="H129" s="28"/>
      <c r="I129" s="4"/>
      <c r="J129" s="4"/>
      <c r="K129" s="4"/>
      <c r="L129" s="4"/>
      <c r="M129" s="20"/>
    </row>
    <row r="130" spans="1:13" x14ac:dyDescent="0.25">
      <c r="A130" s="6"/>
      <c r="B130" s="21"/>
      <c r="C130" s="4"/>
      <c r="D130" s="4"/>
      <c r="E130" s="4"/>
      <c r="F130" s="6"/>
      <c r="G130" s="28"/>
      <c r="H130" s="28"/>
      <c r="I130" s="4"/>
      <c r="J130" s="6"/>
      <c r="K130" s="6"/>
      <c r="L130" s="6"/>
      <c r="M130" s="20"/>
    </row>
    <row r="131" spans="1:13" x14ac:dyDescent="0.25">
      <c r="A131" s="6"/>
      <c r="B131" s="21"/>
      <c r="C131" s="4"/>
      <c r="D131" s="4"/>
      <c r="E131" s="4"/>
      <c r="F131" s="6"/>
      <c r="G131" s="29"/>
      <c r="H131" s="29"/>
      <c r="I131" s="6"/>
      <c r="J131" s="6"/>
      <c r="K131" s="6"/>
      <c r="L131" s="6"/>
      <c r="M131" s="20"/>
    </row>
    <row r="132" spans="1:13" x14ac:dyDescent="0.25">
      <c r="A132" s="6"/>
      <c r="B132" s="21"/>
      <c r="C132" s="4"/>
      <c r="D132" s="4"/>
      <c r="E132" s="4"/>
      <c r="F132" s="6"/>
      <c r="G132" s="29"/>
      <c r="H132" s="29"/>
      <c r="I132" s="6"/>
      <c r="J132" s="6"/>
      <c r="K132" s="6"/>
      <c r="L132" s="6"/>
      <c r="M132" s="20"/>
    </row>
    <row r="133" spans="1:13" x14ac:dyDescent="0.25">
      <c r="A133" s="6"/>
      <c r="B133" s="21"/>
      <c r="C133" s="4"/>
      <c r="D133" s="4"/>
      <c r="E133" s="4"/>
      <c r="F133" s="6"/>
      <c r="G133" s="29"/>
      <c r="H133" s="29"/>
      <c r="I133" s="6"/>
      <c r="J133" s="6"/>
      <c r="K133" s="6"/>
      <c r="L133" s="6"/>
      <c r="M133" s="20"/>
    </row>
    <row r="134" spans="1:13" x14ac:dyDescent="0.25">
      <c r="A134" s="6"/>
      <c r="B134" s="21"/>
      <c r="C134" s="4"/>
      <c r="D134" s="4"/>
      <c r="E134" s="4"/>
      <c r="F134" s="6"/>
      <c r="G134" s="29"/>
      <c r="H134" s="29"/>
      <c r="I134" s="6"/>
      <c r="J134" s="6"/>
      <c r="K134" s="6"/>
      <c r="L134" s="6"/>
      <c r="M134" s="20"/>
    </row>
    <row r="135" spans="1:13" x14ac:dyDescent="0.25">
      <c r="A135" s="6"/>
      <c r="B135" s="21"/>
      <c r="C135" s="4"/>
      <c r="D135" s="4"/>
      <c r="E135" s="4"/>
      <c r="F135" s="6"/>
      <c r="G135" s="29"/>
      <c r="H135" s="29"/>
      <c r="I135" s="6"/>
      <c r="J135" s="6"/>
      <c r="K135" s="6"/>
      <c r="L135" s="6"/>
      <c r="M135" s="20"/>
    </row>
    <row r="136" spans="1:13" x14ac:dyDescent="0.25">
      <c r="A136" s="6"/>
      <c r="B136" s="21"/>
      <c r="C136" s="4"/>
      <c r="D136" s="4"/>
      <c r="E136" s="4"/>
      <c r="F136" s="6"/>
      <c r="G136" s="29"/>
      <c r="H136" s="29"/>
      <c r="I136" s="6"/>
      <c r="J136" s="6"/>
      <c r="K136" s="6"/>
      <c r="L136" s="6"/>
      <c r="M136" s="20"/>
    </row>
    <row r="137" spans="1:13" x14ac:dyDescent="0.25">
      <c r="A137" s="6"/>
      <c r="B137" s="21"/>
      <c r="C137" s="4"/>
      <c r="D137" s="4"/>
      <c r="E137" s="4"/>
      <c r="F137" s="6"/>
      <c r="G137" s="29"/>
      <c r="H137" s="29"/>
      <c r="I137" s="6"/>
      <c r="J137" s="6"/>
      <c r="K137" s="6"/>
      <c r="L137" s="6"/>
      <c r="M137" s="20"/>
    </row>
    <row r="138" spans="1:13" x14ac:dyDescent="0.25">
      <c r="A138" s="6"/>
      <c r="B138" s="21"/>
      <c r="C138" s="4"/>
      <c r="D138" s="4"/>
      <c r="E138" s="4"/>
      <c r="F138" s="6"/>
      <c r="G138" s="29"/>
      <c r="H138" s="29"/>
      <c r="I138" s="6"/>
      <c r="J138" s="6"/>
      <c r="K138" s="6"/>
      <c r="L138" s="6"/>
      <c r="M138" s="20"/>
    </row>
    <row r="139" spans="1:13" x14ac:dyDescent="0.25">
      <c r="A139" s="6"/>
      <c r="B139" s="21"/>
      <c r="C139" s="4"/>
      <c r="D139" s="4"/>
      <c r="E139" s="4"/>
      <c r="F139" s="6"/>
      <c r="G139" s="29"/>
      <c r="H139" s="29"/>
      <c r="I139" s="6"/>
      <c r="J139" s="6"/>
      <c r="K139" s="6"/>
      <c r="L139" s="6"/>
      <c r="M139" s="20"/>
    </row>
    <row r="140" spans="1:13" x14ac:dyDescent="0.25">
      <c r="A140" s="6"/>
      <c r="B140" s="21"/>
      <c r="C140" s="4"/>
      <c r="D140" s="4"/>
      <c r="E140" s="4"/>
      <c r="F140" s="6"/>
      <c r="G140" s="29"/>
      <c r="H140" s="29"/>
      <c r="I140" s="6"/>
      <c r="J140" s="6"/>
      <c r="K140" s="6"/>
      <c r="L140" s="6"/>
      <c r="M140" s="20"/>
    </row>
    <row r="141" spans="1:13" x14ac:dyDescent="0.25">
      <c r="A141" s="6"/>
      <c r="B141" s="21"/>
      <c r="C141" s="4"/>
      <c r="D141" s="4"/>
      <c r="E141" s="4"/>
      <c r="F141" s="6"/>
      <c r="G141" s="29"/>
      <c r="H141" s="29"/>
      <c r="I141" s="6"/>
      <c r="J141" s="6"/>
      <c r="K141" s="6"/>
      <c r="L141" s="6"/>
      <c r="M141" s="20"/>
    </row>
    <row r="142" spans="1:13" x14ac:dyDescent="0.25">
      <c r="A142" s="6"/>
      <c r="B142" s="21"/>
      <c r="C142" s="4"/>
      <c r="D142" s="4"/>
      <c r="E142" s="4"/>
      <c r="F142" s="6"/>
      <c r="G142" s="29"/>
      <c r="H142" s="29"/>
      <c r="I142" s="6"/>
      <c r="J142" s="6"/>
      <c r="K142" s="6"/>
      <c r="L142" s="6"/>
      <c r="M142" s="20"/>
    </row>
    <row r="143" spans="1:13" x14ac:dyDescent="0.25">
      <c r="A143" s="6"/>
      <c r="B143" s="21"/>
      <c r="C143" s="4"/>
      <c r="D143" s="4"/>
      <c r="E143" s="4"/>
      <c r="F143" s="6"/>
      <c r="G143" s="29"/>
      <c r="H143" s="29"/>
      <c r="I143" s="6"/>
      <c r="J143" s="6"/>
      <c r="K143" s="6"/>
      <c r="L143" s="6"/>
      <c r="M143" s="20"/>
    </row>
    <row r="144" spans="1:13" x14ac:dyDescent="0.25">
      <c r="A144" s="6"/>
      <c r="B144" s="21"/>
      <c r="C144" s="4"/>
      <c r="D144" s="4"/>
      <c r="E144" s="4"/>
      <c r="F144" s="6"/>
      <c r="G144" s="29"/>
      <c r="H144" s="29"/>
      <c r="I144" s="6"/>
      <c r="J144" s="6"/>
      <c r="K144" s="6"/>
      <c r="L144" s="6"/>
      <c r="M144" s="20"/>
    </row>
    <row r="145" spans="1:16" x14ac:dyDescent="0.25">
      <c r="A145" s="6"/>
      <c r="B145" s="21"/>
      <c r="C145" s="4"/>
      <c r="D145" s="4"/>
      <c r="E145" s="4"/>
      <c r="F145" s="6"/>
      <c r="G145" s="29"/>
      <c r="H145" s="29"/>
      <c r="I145" s="6"/>
      <c r="J145" s="6"/>
      <c r="K145" s="6"/>
      <c r="L145" s="6"/>
      <c r="M145" s="20"/>
    </row>
    <row r="146" spans="1:16" x14ac:dyDescent="0.25">
      <c r="A146" s="6"/>
      <c r="B146" s="21"/>
      <c r="C146" s="4"/>
      <c r="D146" s="4"/>
      <c r="E146" s="4"/>
      <c r="F146" s="6"/>
      <c r="G146" s="29"/>
      <c r="H146" s="29"/>
      <c r="I146" s="6"/>
      <c r="J146" s="6"/>
      <c r="K146" s="6"/>
      <c r="L146" s="6"/>
      <c r="M146" s="20"/>
    </row>
    <row r="147" spans="1:16" x14ac:dyDescent="0.25">
      <c r="A147" s="6"/>
      <c r="B147" s="21"/>
      <c r="C147" s="4"/>
      <c r="D147" s="4"/>
      <c r="E147" s="4"/>
      <c r="F147" s="6"/>
      <c r="G147" s="29"/>
      <c r="H147" s="29"/>
      <c r="I147" s="6"/>
      <c r="J147" s="6"/>
      <c r="K147" s="6"/>
      <c r="L147" s="6"/>
      <c r="M147" s="20"/>
    </row>
    <row r="148" spans="1:16" x14ac:dyDescent="0.25">
      <c r="A148" s="6"/>
      <c r="B148" s="21"/>
      <c r="C148" s="4"/>
      <c r="D148" s="4"/>
      <c r="E148" s="4"/>
      <c r="F148" s="6"/>
      <c r="G148" s="29"/>
      <c r="H148" s="29"/>
      <c r="I148" s="6"/>
      <c r="J148" s="6"/>
      <c r="K148" s="6"/>
      <c r="L148" s="6"/>
      <c r="M148" s="20"/>
    </row>
    <row r="149" spans="1:16" x14ac:dyDescent="0.25">
      <c r="A149" s="6"/>
      <c r="B149" s="21"/>
      <c r="C149" s="6"/>
      <c r="D149" s="4"/>
      <c r="E149" s="6"/>
      <c r="F149" s="6"/>
      <c r="G149" s="29"/>
      <c r="H149" s="29"/>
      <c r="I149" s="6"/>
      <c r="J149" s="6"/>
      <c r="K149" s="6"/>
      <c r="L149" s="6"/>
      <c r="M149" s="20"/>
    </row>
    <row r="150" spans="1:16" x14ac:dyDescent="0.25">
      <c r="A150" s="6"/>
      <c r="B150" s="21"/>
      <c r="C150" s="6"/>
      <c r="D150" s="4"/>
      <c r="E150" s="6"/>
      <c r="F150" s="6"/>
      <c r="G150" s="29"/>
      <c r="H150" s="29"/>
      <c r="I150" s="6"/>
      <c r="J150" s="6"/>
      <c r="K150" s="6"/>
      <c r="L150" s="6"/>
      <c r="M150" s="20"/>
      <c r="N150" s="26"/>
      <c r="O150" s="10" t="s">
        <v>2</v>
      </c>
      <c r="P150" s="23"/>
    </row>
    <row r="151" spans="1:16" x14ac:dyDescent="0.25">
      <c r="A151" s="6"/>
      <c r="B151" s="21"/>
      <c r="C151" s="6"/>
      <c r="D151" s="4"/>
      <c r="E151" s="6"/>
      <c r="F151" s="6"/>
      <c r="G151" s="29"/>
      <c r="H151" s="29"/>
      <c r="I151" s="6"/>
      <c r="J151" s="6"/>
      <c r="K151" s="6"/>
      <c r="L151" s="6"/>
      <c r="M151" s="20"/>
      <c r="N151" s="26"/>
      <c r="O151" s="10" t="s">
        <v>2</v>
      </c>
      <c r="P151" s="23"/>
    </row>
    <row r="152" spans="1:16" x14ac:dyDescent="0.25">
      <c r="A152" s="6"/>
      <c r="B152" s="21"/>
      <c r="C152" s="6"/>
      <c r="D152" s="4"/>
      <c r="E152" s="6"/>
      <c r="F152" s="6"/>
      <c r="G152" s="29"/>
      <c r="H152" s="29"/>
      <c r="I152" s="6"/>
      <c r="J152" s="6"/>
      <c r="K152" s="6"/>
      <c r="L152" s="6"/>
      <c r="M152" s="20"/>
      <c r="N152" s="26"/>
      <c r="O152" s="10" t="s">
        <v>2</v>
      </c>
      <c r="P152" s="23"/>
    </row>
    <row r="153" spans="1:16" x14ac:dyDescent="0.25">
      <c r="A153" s="6"/>
      <c r="B153" s="21"/>
      <c r="C153" s="6"/>
      <c r="D153" s="4"/>
      <c r="E153" s="6"/>
      <c r="F153" s="6"/>
      <c r="G153" s="29"/>
      <c r="H153" s="29"/>
      <c r="I153" s="6"/>
      <c r="J153" s="6"/>
      <c r="K153" s="6"/>
      <c r="L153" s="6"/>
      <c r="M153" s="20"/>
      <c r="N153" s="26"/>
      <c r="O153" s="10" t="s">
        <v>2</v>
      </c>
      <c r="P153" s="23"/>
    </row>
    <row r="154" spans="1:16" x14ac:dyDescent="0.25">
      <c r="A154" s="6"/>
      <c r="B154" s="21"/>
      <c r="C154" s="6"/>
      <c r="D154" s="4"/>
      <c r="E154" s="6"/>
      <c r="F154" s="6"/>
      <c r="G154" s="29"/>
      <c r="H154" s="29"/>
      <c r="I154" s="6"/>
      <c r="J154" s="6"/>
      <c r="K154" s="6"/>
      <c r="L154" s="6"/>
      <c r="M154" s="20"/>
      <c r="N154" s="26"/>
      <c r="O154" s="10" t="s">
        <v>2</v>
      </c>
      <c r="P154" s="23"/>
    </row>
    <row r="155" spans="1:16" x14ac:dyDescent="0.25">
      <c r="A155" s="6"/>
      <c r="B155" s="21"/>
      <c r="C155" s="6"/>
      <c r="D155" s="4"/>
      <c r="E155" s="6"/>
      <c r="F155" s="6"/>
      <c r="G155" s="29"/>
      <c r="H155" s="29"/>
      <c r="I155" s="6"/>
      <c r="J155" s="6"/>
      <c r="K155" s="6"/>
      <c r="L155" s="6"/>
      <c r="M155" s="20"/>
      <c r="N155" s="26"/>
      <c r="O155" s="10" t="s">
        <v>2</v>
      </c>
      <c r="P155" s="23"/>
    </row>
    <row r="156" spans="1:16" x14ac:dyDescent="0.25">
      <c r="A156" s="6"/>
      <c r="B156" s="21"/>
      <c r="C156" s="6"/>
      <c r="D156" s="4"/>
      <c r="E156" s="6"/>
      <c r="F156" s="6"/>
      <c r="G156" s="29"/>
      <c r="H156" s="29"/>
      <c r="I156" s="6"/>
      <c r="J156" s="6"/>
      <c r="K156" s="6"/>
      <c r="L156" s="6"/>
      <c r="M156" s="20"/>
      <c r="N156" s="26"/>
      <c r="O156" s="10" t="s">
        <v>2</v>
      </c>
      <c r="P156" s="23"/>
    </row>
    <row r="157" spans="1:16" x14ac:dyDescent="0.25">
      <c r="A157" s="6"/>
      <c r="B157" s="21"/>
      <c r="C157" s="6"/>
      <c r="D157" s="4"/>
      <c r="E157" s="6"/>
      <c r="F157" s="6"/>
      <c r="G157" s="29"/>
      <c r="H157" s="29"/>
      <c r="I157" s="6"/>
      <c r="J157" s="6"/>
      <c r="K157" s="6"/>
      <c r="L157" s="6"/>
      <c r="M157" s="20"/>
      <c r="N157" s="26"/>
      <c r="O157" s="10" t="s">
        <v>2</v>
      </c>
      <c r="P157" s="23"/>
    </row>
    <row r="158" spans="1:16" x14ac:dyDescent="0.25">
      <c r="A158" s="6"/>
      <c r="B158" s="21"/>
      <c r="C158" s="6"/>
      <c r="D158" s="4"/>
      <c r="E158" s="6"/>
      <c r="F158" s="6"/>
      <c r="G158" s="29"/>
      <c r="H158" s="29"/>
      <c r="I158" s="6"/>
      <c r="J158" s="6"/>
      <c r="K158" s="6"/>
      <c r="L158" s="6"/>
      <c r="M158" s="20"/>
      <c r="N158" s="26"/>
      <c r="O158" s="10" t="s">
        <v>2</v>
      </c>
      <c r="P158" s="23"/>
    </row>
    <row r="159" spans="1:16" x14ac:dyDescent="0.25">
      <c r="A159" s="6"/>
      <c r="B159" s="21"/>
      <c r="C159" s="6"/>
      <c r="D159" s="4"/>
      <c r="E159" s="6"/>
      <c r="F159" s="6"/>
      <c r="G159" s="29"/>
      <c r="H159" s="29"/>
      <c r="I159" s="6"/>
      <c r="J159" s="6"/>
      <c r="K159" s="6"/>
      <c r="L159" s="6"/>
      <c r="M159" s="22"/>
      <c r="N159" s="26"/>
      <c r="O159" s="10" t="s">
        <v>2</v>
      </c>
      <c r="P159" s="23"/>
    </row>
    <row r="160" spans="1:16" x14ac:dyDescent="0.25">
      <c r="A160" s="6"/>
      <c r="B160" s="21"/>
      <c r="C160" s="6"/>
      <c r="D160" s="4"/>
      <c r="E160" s="6"/>
      <c r="F160" s="6"/>
      <c r="G160" s="29"/>
      <c r="H160" s="29"/>
      <c r="I160" s="6"/>
      <c r="J160" s="6"/>
      <c r="K160" s="6"/>
      <c r="L160" s="6"/>
      <c r="M160" s="22"/>
      <c r="N160" s="26"/>
      <c r="O160" s="10" t="s">
        <v>2</v>
      </c>
      <c r="P160" s="23"/>
    </row>
    <row r="161" spans="1:16" x14ac:dyDescent="0.25">
      <c r="A161" s="6"/>
      <c r="B161" s="21"/>
      <c r="C161" s="6"/>
      <c r="D161" s="4"/>
      <c r="E161" s="6"/>
      <c r="F161" s="6"/>
      <c r="G161" s="29"/>
      <c r="H161" s="29"/>
      <c r="I161" s="6"/>
      <c r="J161" s="6"/>
      <c r="K161" s="6"/>
      <c r="L161" s="6"/>
      <c r="M161" s="22"/>
      <c r="N161" s="26"/>
      <c r="O161" s="10" t="s">
        <v>2</v>
      </c>
      <c r="P161" s="23"/>
    </row>
    <row r="162" spans="1:16" x14ac:dyDescent="0.25">
      <c r="A162" s="6"/>
      <c r="B162" s="21"/>
      <c r="C162" s="6"/>
      <c r="D162" s="4"/>
      <c r="E162" s="6"/>
      <c r="F162" s="6"/>
      <c r="G162" s="29"/>
      <c r="H162" s="29"/>
      <c r="I162" s="6"/>
      <c r="J162" s="6"/>
      <c r="K162" s="6"/>
      <c r="L162" s="6"/>
      <c r="M162" s="22"/>
      <c r="N162" s="26"/>
      <c r="O162" s="10" t="s">
        <v>2</v>
      </c>
      <c r="P162" s="23"/>
    </row>
    <row r="163" spans="1:16" x14ac:dyDescent="0.25">
      <c r="A163" s="6"/>
      <c r="B163" s="21"/>
      <c r="C163" s="6"/>
      <c r="D163" s="4"/>
      <c r="E163" s="6"/>
      <c r="F163" s="6"/>
      <c r="G163" s="29"/>
      <c r="H163" s="29"/>
      <c r="I163" s="6"/>
      <c r="J163" s="6"/>
      <c r="K163" s="6"/>
      <c r="L163" s="6"/>
      <c r="M163" s="22"/>
      <c r="N163" s="26"/>
      <c r="O163" s="10" t="s">
        <v>2</v>
      </c>
      <c r="P163" s="23"/>
    </row>
    <row r="164" spans="1:16" x14ac:dyDescent="0.25">
      <c r="A164" s="6"/>
      <c r="B164" s="21"/>
      <c r="C164" s="6"/>
      <c r="D164" s="4"/>
      <c r="E164" s="6"/>
      <c r="F164" s="6"/>
      <c r="G164" s="29"/>
      <c r="H164" s="29"/>
      <c r="I164" s="6"/>
      <c r="J164" s="6"/>
      <c r="K164" s="6"/>
      <c r="L164" s="6"/>
      <c r="M164" s="22"/>
      <c r="N164" s="26"/>
      <c r="O164" s="10" t="s">
        <v>2</v>
      </c>
      <c r="P164" s="23"/>
    </row>
    <row r="165" spans="1:16" x14ac:dyDescent="0.25">
      <c r="A165" s="6"/>
      <c r="B165" s="21"/>
      <c r="C165" s="6"/>
      <c r="D165" s="4"/>
      <c r="E165" s="6"/>
      <c r="F165" s="6"/>
      <c r="G165" s="29"/>
      <c r="H165" s="29"/>
      <c r="I165" s="6"/>
      <c r="J165" s="6"/>
      <c r="K165" s="6"/>
      <c r="L165" s="6"/>
      <c r="M165" s="22"/>
      <c r="N165" s="26"/>
      <c r="O165" s="10" t="s">
        <v>2</v>
      </c>
      <c r="P165" s="23"/>
    </row>
    <row r="166" spans="1:16" x14ac:dyDescent="0.25">
      <c r="B166" s="17"/>
      <c r="D166" s="3"/>
      <c r="M166" s="10"/>
      <c r="N166" s="27"/>
      <c r="O166" s="10" t="s">
        <v>2</v>
      </c>
      <c r="P166" s="23"/>
    </row>
    <row r="167" spans="1:16" x14ac:dyDescent="0.25">
      <c r="B167" s="17"/>
      <c r="D167" s="3"/>
      <c r="M167" s="10"/>
      <c r="N167" s="27"/>
      <c r="O167" s="10" t="s">
        <v>2</v>
      </c>
      <c r="P167" s="23"/>
    </row>
    <row r="168" spans="1:16" x14ac:dyDescent="0.25">
      <c r="B168" s="17"/>
      <c r="D168" s="3"/>
      <c r="M168" s="10"/>
      <c r="N168" s="27"/>
      <c r="O168" s="10" t="s">
        <v>2</v>
      </c>
      <c r="P168" s="23"/>
    </row>
    <row r="169" spans="1:16" x14ac:dyDescent="0.25">
      <c r="B169" s="17"/>
      <c r="D169" s="3"/>
      <c r="M169" s="10"/>
      <c r="N169" s="27"/>
      <c r="O169" s="10" t="s">
        <v>2</v>
      </c>
      <c r="P169" s="23"/>
    </row>
    <row r="170" spans="1:16" x14ac:dyDescent="0.25">
      <c r="B170" s="17"/>
      <c r="D170" s="3"/>
      <c r="M170" s="10"/>
      <c r="N170" s="27"/>
      <c r="O170" s="10" t="s">
        <v>2</v>
      </c>
      <c r="P170" s="23"/>
    </row>
    <row r="171" spans="1:16" x14ac:dyDescent="0.25">
      <c r="B171" s="17"/>
      <c r="D171" s="3"/>
      <c r="M171" s="10"/>
      <c r="N171" s="27"/>
      <c r="O171" s="10" t="s">
        <v>2</v>
      </c>
      <c r="P171" s="23"/>
    </row>
    <row r="172" spans="1:16" x14ac:dyDescent="0.25">
      <c r="B172" s="17"/>
      <c r="D172" s="3"/>
      <c r="M172" s="10"/>
      <c r="N172" s="27"/>
      <c r="O172" s="10" t="s">
        <v>2</v>
      </c>
      <c r="P172" s="23"/>
    </row>
    <row r="173" spans="1:16" x14ac:dyDescent="0.25">
      <c r="B173" s="17"/>
      <c r="D173" s="3"/>
      <c r="M173" s="10"/>
      <c r="N173" s="27"/>
      <c r="O173" s="10" t="s">
        <v>2</v>
      </c>
      <c r="P173" s="23"/>
    </row>
    <row r="174" spans="1:16" x14ac:dyDescent="0.25">
      <c r="B174" s="17"/>
      <c r="D174" s="3"/>
      <c r="M174" s="10"/>
      <c r="N174" s="27"/>
      <c r="O174" s="10" t="s">
        <v>2</v>
      </c>
      <c r="P174" s="23"/>
    </row>
    <row r="175" spans="1:16" x14ac:dyDescent="0.25">
      <c r="B175" s="17"/>
      <c r="D175" s="3"/>
      <c r="M175" s="10"/>
      <c r="N175" s="27"/>
      <c r="O175" s="10" t="s">
        <v>2</v>
      </c>
      <c r="P175" s="23"/>
    </row>
    <row r="176" spans="1:16" x14ac:dyDescent="0.25">
      <c r="B176" s="17"/>
      <c r="D176" s="3"/>
      <c r="M176" s="10"/>
      <c r="N176" s="27"/>
      <c r="O176" s="10" t="s">
        <v>2</v>
      </c>
      <c r="P176" s="23"/>
    </row>
    <row r="177" spans="2:16" x14ac:dyDescent="0.25">
      <c r="B177" s="17"/>
      <c r="D177" s="3"/>
      <c r="M177" s="10"/>
      <c r="N177" s="27"/>
      <c r="O177" s="10" t="s">
        <v>2</v>
      </c>
      <c r="P177" s="23"/>
    </row>
    <row r="178" spans="2:16" x14ac:dyDescent="0.25">
      <c r="B178" s="17"/>
      <c r="D178" s="3"/>
      <c r="M178" s="10"/>
      <c r="N178" s="27"/>
      <c r="O178" s="10" t="s">
        <v>2</v>
      </c>
      <c r="P178" s="23"/>
    </row>
    <row r="179" spans="2:16" x14ac:dyDescent="0.25">
      <c r="B179" s="17"/>
      <c r="D179" s="3"/>
      <c r="M179" s="10"/>
      <c r="N179" s="27"/>
      <c r="O179" s="10" t="s">
        <v>2</v>
      </c>
      <c r="P179" s="23"/>
    </row>
    <row r="180" spans="2:16" x14ac:dyDescent="0.25">
      <c r="B180" s="17"/>
      <c r="D180" s="3"/>
      <c r="M180" s="10"/>
      <c r="N180" s="27"/>
      <c r="O180" s="10" t="s">
        <v>2</v>
      </c>
      <c r="P180" s="23"/>
    </row>
    <row r="181" spans="2:16" x14ac:dyDescent="0.25">
      <c r="B181" s="17"/>
      <c r="D181" s="3"/>
      <c r="M181" s="10"/>
      <c r="N181" s="27"/>
      <c r="O181" s="10" t="s">
        <v>2</v>
      </c>
      <c r="P181" s="23"/>
    </row>
    <row r="182" spans="2:16" x14ac:dyDescent="0.25">
      <c r="B182" s="17"/>
      <c r="D182" s="3"/>
      <c r="M182" s="10"/>
      <c r="N182" s="27"/>
      <c r="O182" s="10" t="s">
        <v>2</v>
      </c>
      <c r="P182" s="23"/>
    </row>
    <row r="183" spans="2:16" x14ac:dyDescent="0.25">
      <c r="B183" s="17"/>
      <c r="D183" s="3"/>
      <c r="M183" s="10"/>
      <c r="N183" s="27"/>
      <c r="O183" s="10" t="s">
        <v>2</v>
      </c>
      <c r="P183" s="23"/>
    </row>
    <row r="184" spans="2:16" x14ac:dyDescent="0.25">
      <c r="B184" s="17"/>
      <c r="D184" s="3"/>
      <c r="M184" s="10"/>
      <c r="N184" s="27"/>
      <c r="O184" s="10" t="s">
        <v>2</v>
      </c>
      <c r="P184" s="23"/>
    </row>
    <row r="185" spans="2:16" x14ac:dyDescent="0.25">
      <c r="B185" s="17"/>
      <c r="D185" s="3"/>
      <c r="M185" s="10"/>
      <c r="N185" s="27"/>
      <c r="O185" s="10" t="s">
        <v>2</v>
      </c>
      <c r="P185" s="24"/>
    </row>
    <row r="186" spans="2:16" x14ac:dyDescent="0.25">
      <c r="B186" s="17"/>
      <c r="D186" s="3"/>
      <c r="M186" s="10"/>
      <c r="N186" s="27"/>
      <c r="O186" s="10" t="s">
        <v>2</v>
      </c>
      <c r="P186" s="24"/>
    </row>
    <row r="187" spans="2:16" x14ac:dyDescent="0.25">
      <c r="B187" s="17"/>
      <c r="D187" s="3"/>
      <c r="M187" s="10"/>
      <c r="N187" s="27"/>
      <c r="O187" s="10" t="s">
        <v>2</v>
      </c>
      <c r="P187" s="24"/>
    </row>
    <row r="188" spans="2:16" x14ac:dyDescent="0.25">
      <c r="B188" s="17"/>
      <c r="D188" s="3"/>
      <c r="M188" s="10"/>
      <c r="N188" s="27"/>
      <c r="O188" s="10" t="s">
        <v>2</v>
      </c>
      <c r="P188" s="24"/>
    </row>
    <row r="189" spans="2:16" x14ac:dyDescent="0.25">
      <c r="B189" s="17"/>
      <c r="D189" s="3"/>
      <c r="M189" s="10"/>
      <c r="N189" s="27"/>
      <c r="O189" s="10" t="s">
        <v>2</v>
      </c>
      <c r="P189" s="24"/>
    </row>
    <row r="190" spans="2:16" x14ac:dyDescent="0.25">
      <c r="B190" s="17"/>
      <c r="D190" s="3"/>
      <c r="M190" s="10"/>
      <c r="N190" s="27"/>
      <c r="O190" s="10" t="s">
        <v>2</v>
      </c>
      <c r="P190" s="24"/>
    </row>
    <row r="191" spans="2:16" x14ac:dyDescent="0.25">
      <c r="B191" s="17"/>
      <c r="D191" s="3"/>
      <c r="M191" s="10"/>
      <c r="N191" s="27"/>
      <c r="O191" s="10" t="s">
        <v>2</v>
      </c>
      <c r="P191" s="24"/>
    </row>
    <row r="192" spans="2:16" x14ac:dyDescent="0.25">
      <c r="B192" s="17"/>
      <c r="D192" s="3"/>
      <c r="M192" s="10"/>
      <c r="N192" s="27"/>
      <c r="O192" s="10" t="s">
        <v>2</v>
      </c>
      <c r="P192" s="24"/>
    </row>
    <row r="193" spans="2:16" x14ac:dyDescent="0.25">
      <c r="B193" s="17"/>
      <c r="D193" s="3"/>
      <c r="M193" s="10"/>
      <c r="N193" s="27"/>
      <c r="O193" s="10" t="s">
        <v>2</v>
      </c>
      <c r="P193" s="24"/>
    </row>
    <row r="194" spans="2:16" x14ac:dyDescent="0.25">
      <c r="B194" s="17"/>
      <c r="D194" s="3"/>
      <c r="M194" s="10"/>
      <c r="N194" s="27"/>
      <c r="O194" s="10" t="s">
        <v>2</v>
      </c>
      <c r="P194" s="24"/>
    </row>
    <row r="195" spans="2:16" x14ac:dyDescent="0.25">
      <c r="B195" s="17"/>
      <c r="D195" s="3"/>
      <c r="M195" s="10"/>
      <c r="N195" s="27"/>
      <c r="O195" s="10" t="s">
        <v>2</v>
      </c>
      <c r="P195" s="24"/>
    </row>
    <row r="196" spans="2:16" x14ac:dyDescent="0.25">
      <c r="B196" s="17"/>
      <c r="D196" s="3"/>
      <c r="M196" s="10"/>
      <c r="N196" s="27"/>
      <c r="O196" s="10" t="s">
        <v>2</v>
      </c>
      <c r="P196" s="24"/>
    </row>
    <row r="197" spans="2:16" x14ac:dyDescent="0.25">
      <c r="B197" s="17"/>
      <c r="D197" s="3"/>
      <c r="M197" s="10"/>
      <c r="N197" s="27"/>
      <c r="O197" s="10" t="s">
        <v>2</v>
      </c>
      <c r="P197" s="24"/>
    </row>
    <row r="198" spans="2:16" x14ac:dyDescent="0.25">
      <c r="B198" s="17"/>
      <c r="D198" s="3"/>
      <c r="M198" s="10"/>
      <c r="N198" s="27"/>
      <c r="O198" s="10" t="s">
        <v>2</v>
      </c>
      <c r="P198" s="24"/>
    </row>
    <row r="199" spans="2:16" x14ac:dyDescent="0.25">
      <c r="B199" s="17"/>
      <c r="D199" s="3"/>
      <c r="M199" s="10"/>
      <c r="N199" s="27"/>
      <c r="O199" s="10" t="s">
        <v>2</v>
      </c>
      <c r="P199" s="24"/>
    </row>
    <row r="200" spans="2:16" x14ac:dyDescent="0.25">
      <c r="B200" s="17"/>
      <c r="D200" s="3"/>
      <c r="M200" s="10"/>
      <c r="N200" s="27"/>
      <c r="O200" s="10" t="s">
        <v>2</v>
      </c>
      <c r="P200" s="24"/>
    </row>
    <row r="201" spans="2:16" x14ac:dyDescent="0.25">
      <c r="B201" s="17"/>
      <c r="D201" s="3"/>
      <c r="M201" s="10"/>
      <c r="N201" s="27"/>
      <c r="O201" s="10" t="s">
        <v>2</v>
      </c>
      <c r="P201" s="24"/>
    </row>
    <row r="202" spans="2:16" x14ac:dyDescent="0.25">
      <c r="B202" s="17"/>
      <c r="D202" s="3"/>
      <c r="M202" s="10"/>
      <c r="N202" s="27"/>
      <c r="O202" s="10" t="s">
        <v>2</v>
      </c>
      <c r="P202" s="24"/>
    </row>
    <row r="203" spans="2:16" x14ac:dyDescent="0.25">
      <c r="B203" s="17"/>
      <c r="D203" s="3"/>
      <c r="M203" s="10"/>
      <c r="N203" s="27"/>
      <c r="O203" s="10" t="s">
        <v>2</v>
      </c>
      <c r="P203" s="24"/>
    </row>
    <row r="204" spans="2:16" x14ac:dyDescent="0.25">
      <c r="B204" s="17"/>
      <c r="D204" s="3"/>
      <c r="M204" s="10"/>
      <c r="N204" s="27"/>
      <c r="O204" s="10" t="s">
        <v>2</v>
      </c>
      <c r="P204" s="24"/>
    </row>
    <row r="205" spans="2:16" x14ac:dyDescent="0.25">
      <c r="B205" s="17"/>
      <c r="D205" s="3"/>
      <c r="M205" s="10"/>
      <c r="N205" s="27"/>
      <c r="O205" s="10" t="s">
        <v>2</v>
      </c>
      <c r="P205" s="24"/>
    </row>
    <row r="206" spans="2:16" x14ac:dyDescent="0.25">
      <c r="B206" s="17"/>
      <c r="D206" s="3"/>
      <c r="M206" s="10"/>
      <c r="N206" s="27"/>
      <c r="O206" s="10" t="s">
        <v>2</v>
      </c>
      <c r="P206" s="24"/>
    </row>
    <row r="207" spans="2:16" x14ac:dyDescent="0.25">
      <c r="B207" s="17"/>
      <c r="D207" s="3"/>
      <c r="M207" s="10"/>
      <c r="N207" s="27"/>
      <c r="O207" s="10" t="s">
        <v>2</v>
      </c>
      <c r="P207" s="24"/>
    </row>
    <row r="208" spans="2:16" x14ac:dyDescent="0.25">
      <c r="B208" s="17"/>
      <c r="D208" s="3"/>
      <c r="M208" s="10"/>
      <c r="N208" s="27"/>
      <c r="O208" s="10" t="s">
        <v>2</v>
      </c>
      <c r="P208" s="24"/>
    </row>
    <row r="209" spans="2:16" x14ac:dyDescent="0.25">
      <c r="B209" s="17"/>
      <c r="D209" s="3"/>
      <c r="M209" s="10"/>
      <c r="N209" s="27"/>
      <c r="O209" s="10" t="s">
        <v>2</v>
      </c>
      <c r="P209" s="24"/>
    </row>
    <row r="210" spans="2:16" x14ac:dyDescent="0.25">
      <c r="B210" s="17"/>
      <c r="D210" s="3"/>
      <c r="M210" s="10"/>
      <c r="N210" s="27"/>
      <c r="O210" s="10" t="s">
        <v>2</v>
      </c>
      <c r="P210" s="24"/>
    </row>
    <row r="211" spans="2:16" x14ac:dyDescent="0.25">
      <c r="B211" s="17"/>
      <c r="D211" s="3"/>
      <c r="M211" s="10"/>
      <c r="N211" s="27"/>
      <c r="O211" s="10" t="s">
        <v>2</v>
      </c>
      <c r="P211" s="24"/>
    </row>
    <row r="212" spans="2:16" x14ac:dyDescent="0.25">
      <c r="B212" s="17"/>
      <c r="D212" s="3"/>
      <c r="M212" s="10"/>
      <c r="N212" s="27"/>
      <c r="O212" s="10" t="s">
        <v>2</v>
      </c>
      <c r="P212" s="24"/>
    </row>
    <row r="213" spans="2:16" x14ac:dyDescent="0.25">
      <c r="B213" s="17"/>
      <c r="D213" s="3"/>
      <c r="M213" s="10"/>
      <c r="N213" s="27"/>
      <c r="O213" s="10" t="s">
        <v>2</v>
      </c>
      <c r="P213" s="24"/>
    </row>
    <row r="214" spans="2:16" x14ac:dyDescent="0.25">
      <c r="B214" s="17"/>
      <c r="D214" s="3"/>
      <c r="M214" s="10"/>
      <c r="N214" s="27"/>
      <c r="O214" s="10" t="s">
        <v>2</v>
      </c>
      <c r="P214" s="24"/>
    </row>
    <row r="215" spans="2:16" x14ac:dyDescent="0.25">
      <c r="B215" s="17"/>
      <c r="D215" s="3"/>
      <c r="M215" s="10"/>
      <c r="N215" s="27"/>
      <c r="O215" s="10" t="s">
        <v>2</v>
      </c>
      <c r="P215" s="24"/>
    </row>
    <row r="216" spans="2:16" x14ac:dyDescent="0.25">
      <c r="B216" s="17"/>
      <c r="D216" s="3"/>
      <c r="M216" s="10"/>
      <c r="N216" s="27"/>
      <c r="O216" s="10" t="s">
        <v>2</v>
      </c>
      <c r="P216" s="24"/>
    </row>
    <row r="217" spans="2:16" x14ac:dyDescent="0.25">
      <c r="B217" s="17"/>
      <c r="D217" s="3"/>
      <c r="M217" s="10"/>
      <c r="N217" s="27"/>
      <c r="O217" s="10" t="s">
        <v>2</v>
      </c>
      <c r="P217" s="24"/>
    </row>
    <row r="218" spans="2:16" x14ac:dyDescent="0.25">
      <c r="B218" s="17"/>
      <c r="D218" s="3"/>
      <c r="M218" s="10"/>
      <c r="N218" s="27"/>
      <c r="O218" s="10" t="s">
        <v>2</v>
      </c>
      <c r="P218" s="24"/>
    </row>
    <row r="219" spans="2:16" x14ac:dyDescent="0.25">
      <c r="B219" s="17"/>
      <c r="D219" s="3"/>
      <c r="M219" s="10"/>
      <c r="N219" s="27"/>
      <c r="O219" s="10" t="s">
        <v>2</v>
      </c>
      <c r="P219" s="24"/>
    </row>
    <row r="220" spans="2:16" x14ac:dyDescent="0.25">
      <c r="B220" s="17"/>
      <c r="D220" s="3"/>
      <c r="M220" s="10"/>
      <c r="N220" s="27"/>
      <c r="O220" s="10" t="s">
        <v>2</v>
      </c>
      <c r="P220" s="24"/>
    </row>
    <row r="221" spans="2:16" x14ac:dyDescent="0.25">
      <c r="B221" s="17"/>
      <c r="D221" s="3"/>
      <c r="M221" s="10"/>
      <c r="N221" s="27"/>
      <c r="O221" s="10" t="s">
        <v>2</v>
      </c>
      <c r="P221" s="24"/>
    </row>
    <row r="222" spans="2:16" x14ac:dyDescent="0.25">
      <c r="B222" s="17"/>
      <c r="D222" s="3"/>
      <c r="M222" s="10"/>
      <c r="N222" s="27"/>
      <c r="O222" s="10" t="s">
        <v>2</v>
      </c>
      <c r="P222" s="24"/>
    </row>
    <row r="223" spans="2:16" x14ac:dyDescent="0.25">
      <c r="B223" s="17"/>
      <c r="D223" s="3"/>
      <c r="M223" s="10"/>
      <c r="N223" s="27"/>
      <c r="O223" s="10" t="s">
        <v>2</v>
      </c>
      <c r="P223" s="24"/>
    </row>
    <row r="224" spans="2:16" x14ac:dyDescent="0.25">
      <c r="B224" s="17"/>
      <c r="D224" s="3"/>
      <c r="M224" s="10"/>
      <c r="N224" s="27"/>
      <c r="O224" s="10" t="s">
        <v>2</v>
      </c>
      <c r="P224" s="24"/>
    </row>
    <row r="225" spans="2:16" x14ac:dyDescent="0.25">
      <c r="B225" s="17"/>
      <c r="D225" s="3"/>
      <c r="M225" s="10"/>
      <c r="N225" s="27"/>
      <c r="O225" s="10" t="s">
        <v>2</v>
      </c>
      <c r="P225" s="24"/>
    </row>
    <row r="226" spans="2:16" x14ac:dyDescent="0.25">
      <c r="B226" s="17"/>
      <c r="D226" s="3"/>
      <c r="M226" s="10"/>
      <c r="N226" s="27"/>
      <c r="O226" s="10" t="s">
        <v>2</v>
      </c>
      <c r="P226" s="24"/>
    </row>
    <row r="227" spans="2:16" x14ac:dyDescent="0.25">
      <c r="B227" s="17"/>
      <c r="D227" s="3"/>
      <c r="M227" s="10"/>
      <c r="N227" s="27"/>
      <c r="O227" s="10" t="s">
        <v>2</v>
      </c>
      <c r="P227" s="24"/>
    </row>
    <row r="228" spans="2:16" x14ac:dyDescent="0.25">
      <c r="B228" s="17"/>
      <c r="D228" s="3"/>
      <c r="M228" s="10"/>
      <c r="N228" s="27"/>
      <c r="O228" s="10" t="s">
        <v>2</v>
      </c>
      <c r="P228" s="24"/>
    </row>
    <row r="229" spans="2:16" x14ac:dyDescent="0.25">
      <c r="B229" s="17"/>
      <c r="D229" s="3"/>
      <c r="M229" s="10"/>
      <c r="N229" s="27"/>
      <c r="O229" s="10" t="s">
        <v>2</v>
      </c>
      <c r="P229" s="24"/>
    </row>
    <row r="230" spans="2:16" x14ac:dyDescent="0.25">
      <c r="B230" s="17"/>
      <c r="D230" s="3"/>
      <c r="M230" s="10"/>
      <c r="N230" s="27"/>
      <c r="O230" s="10" t="s">
        <v>2</v>
      </c>
      <c r="P230" s="24"/>
    </row>
    <row r="231" spans="2:16" x14ac:dyDescent="0.25">
      <c r="B231" s="17"/>
      <c r="D231" s="3"/>
      <c r="M231" s="10"/>
      <c r="N231" s="27"/>
      <c r="O231" s="10" t="s">
        <v>2</v>
      </c>
      <c r="P231" s="24"/>
    </row>
    <row r="232" spans="2:16" x14ac:dyDescent="0.25">
      <c r="B232" s="17"/>
      <c r="D232" s="3"/>
      <c r="M232" s="10"/>
      <c r="N232" s="27"/>
      <c r="O232" s="10" t="s">
        <v>2</v>
      </c>
      <c r="P232" s="24"/>
    </row>
    <row r="233" spans="2:16" x14ac:dyDescent="0.25">
      <c r="B233" s="17"/>
      <c r="D233" s="3"/>
      <c r="M233" s="10"/>
      <c r="N233" s="27"/>
      <c r="O233" s="10" t="s">
        <v>2</v>
      </c>
      <c r="P233" s="24"/>
    </row>
    <row r="234" spans="2:16" x14ac:dyDescent="0.25">
      <c r="B234" s="17"/>
      <c r="D234" s="3"/>
      <c r="M234" s="10"/>
      <c r="N234" s="27"/>
      <c r="O234" s="10" t="s">
        <v>2</v>
      </c>
      <c r="P234" s="24"/>
    </row>
    <row r="235" spans="2:16" x14ac:dyDescent="0.25">
      <c r="B235" s="17"/>
      <c r="D235" s="3"/>
      <c r="M235" s="10"/>
      <c r="N235" s="27"/>
      <c r="O235" s="10" t="s">
        <v>2</v>
      </c>
      <c r="P235" s="24"/>
    </row>
    <row r="236" spans="2:16" x14ac:dyDescent="0.25">
      <c r="B236" s="17"/>
      <c r="D236" s="3"/>
      <c r="M236" s="10"/>
      <c r="N236" s="27"/>
      <c r="O236" s="10" t="s">
        <v>2</v>
      </c>
      <c r="P236" s="24"/>
    </row>
    <row r="237" spans="2:16" x14ac:dyDescent="0.25">
      <c r="B237" s="17"/>
      <c r="D237" s="3"/>
      <c r="M237" s="10"/>
      <c r="N237" s="27"/>
      <c r="O237" s="10" t="s">
        <v>2</v>
      </c>
      <c r="P237" s="24"/>
    </row>
    <row r="238" spans="2:16" x14ac:dyDescent="0.25">
      <c r="B238" s="17"/>
      <c r="D238" s="3"/>
      <c r="M238" s="10"/>
      <c r="N238" s="27"/>
      <c r="O238" s="10" t="s">
        <v>2</v>
      </c>
      <c r="P238" s="24"/>
    </row>
    <row r="239" spans="2:16" x14ac:dyDescent="0.25">
      <c r="B239" s="17"/>
      <c r="D239" s="3"/>
      <c r="M239" s="10"/>
      <c r="N239" s="27"/>
      <c r="O239" s="10" t="s">
        <v>2</v>
      </c>
      <c r="P239" s="24"/>
    </row>
    <row r="240" spans="2:16" x14ac:dyDescent="0.25">
      <c r="B240" s="17"/>
      <c r="D240" s="3"/>
      <c r="M240" s="10"/>
      <c r="N240" s="27"/>
      <c r="O240" s="10" t="s">
        <v>2</v>
      </c>
      <c r="P240" s="24"/>
    </row>
    <row r="241" spans="2:16" x14ac:dyDescent="0.25">
      <c r="B241" s="17"/>
      <c r="D241" s="3"/>
      <c r="M241" s="10"/>
      <c r="N241" s="27"/>
      <c r="O241" s="10" t="s">
        <v>2</v>
      </c>
      <c r="P241" s="24"/>
    </row>
    <row r="242" spans="2:16" x14ac:dyDescent="0.25">
      <c r="B242" s="17"/>
      <c r="D242" s="3"/>
      <c r="M242" s="10"/>
      <c r="N242" s="27"/>
      <c r="O242" s="10" t="s">
        <v>2</v>
      </c>
      <c r="P242" s="24"/>
    </row>
    <row r="243" spans="2:16" x14ac:dyDescent="0.25">
      <c r="B243" s="17"/>
      <c r="D243" s="3"/>
      <c r="M243" s="10"/>
      <c r="N243" s="27"/>
      <c r="O243" s="10" t="s">
        <v>2</v>
      </c>
      <c r="P243" s="24"/>
    </row>
    <row r="244" spans="2:16" x14ac:dyDescent="0.25">
      <c r="B244" s="17"/>
      <c r="D244" s="3"/>
      <c r="M244" s="10"/>
      <c r="N244" s="27"/>
      <c r="O244" s="10" t="s">
        <v>2</v>
      </c>
      <c r="P244" s="24"/>
    </row>
    <row r="245" spans="2:16" x14ac:dyDescent="0.25">
      <c r="B245" s="17"/>
      <c r="D245" s="3"/>
      <c r="M245" s="10"/>
      <c r="N245" s="27"/>
      <c r="O245" s="10" t="s">
        <v>2</v>
      </c>
      <c r="P245" s="24"/>
    </row>
    <row r="246" spans="2:16" x14ac:dyDescent="0.25">
      <c r="B246" s="17"/>
      <c r="D246" s="3"/>
      <c r="M246" s="10"/>
      <c r="N246" s="27"/>
      <c r="O246" s="10" t="s">
        <v>2</v>
      </c>
      <c r="P246" s="24"/>
    </row>
    <row r="247" spans="2:16" x14ac:dyDescent="0.25">
      <c r="B247" s="17"/>
      <c r="D247" s="3"/>
      <c r="M247" s="10"/>
      <c r="N247" s="27"/>
      <c r="O247" s="10" t="s">
        <v>2</v>
      </c>
      <c r="P247" s="24"/>
    </row>
    <row r="248" spans="2:16" x14ac:dyDescent="0.25">
      <c r="B248" s="17"/>
      <c r="D248" s="3"/>
      <c r="M248" s="10"/>
      <c r="N248" s="27"/>
      <c r="O248" s="10" t="s">
        <v>2</v>
      </c>
      <c r="P248" s="24"/>
    </row>
    <row r="249" spans="2:16" x14ac:dyDescent="0.25">
      <c r="B249" s="17"/>
      <c r="D249" s="3"/>
      <c r="M249" s="10"/>
      <c r="N249" s="27"/>
      <c r="O249" s="10" t="s">
        <v>2</v>
      </c>
      <c r="P249" s="24"/>
    </row>
    <row r="250" spans="2:16" x14ac:dyDescent="0.25">
      <c r="B250" s="17"/>
      <c r="D250" s="3"/>
      <c r="M250" s="10"/>
      <c r="N250" s="27"/>
      <c r="O250" s="10" t="s">
        <v>2</v>
      </c>
      <c r="P250" s="10"/>
    </row>
    <row r="251" spans="2:16" x14ac:dyDescent="0.25">
      <c r="B251" s="17"/>
      <c r="D251" s="3"/>
      <c r="M251" s="10"/>
      <c r="N251" s="27"/>
      <c r="O251" s="10" t="s">
        <v>2</v>
      </c>
      <c r="P251" s="10"/>
    </row>
    <row r="252" spans="2:16" x14ac:dyDescent="0.25">
      <c r="B252" s="17"/>
      <c r="D252" s="3"/>
      <c r="M252" s="10"/>
      <c r="N252" s="27"/>
      <c r="O252" s="10" t="s">
        <v>2</v>
      </c>
      <c r="P252" s="10"/>
    </row>
    <row r="253" spans="2:16" x14ac:dyDescent="0.25">
      <c r="B253" s="17"/>
      <c r="D253" s="3"/>
      <c r="M253" s="10"/>
      <c r="N253" s="27"/>
      <c r="O253" s="10" t="s">
        <v>2</v>
      </c>
      <c r="P253" s="10"/>
    </row>
    <row r="254" spans="2:16" x14ac:dyDescent="0.25">
      <c r="B254" s="17"/>
      <c r="D254" s="3"/>
      <c r="M254" s="10"/>
      <c r="N254" s="27"/>
      <c r="O254" s="10" t="s">
        <v>2</v>
      </c>
      <c r="P254" s="10"/>
    </row>
    <row r="255" spans="2:16" x14ac:dyDescent="0.25">
      <c r="B255" s="17"/>
      <c r="D255" s="3"/>
      <c r="M255" s="10"/>
      <c r="N255" s="27"/>
      <c r="O255" s="10" t="s">
        <v>2</v>
      </c>
      <c r="P255" s="10"/>
    </row>
    <row r="256" spans="2:16" x14ac:dyDescent="0.25">
      <c r="B256" s="17"/>
      <c r="D256" s="3"/>
      <c r="M256" s="10"/>
      <c r="N256" s="27"/>
      <c r="O256" s="10" t="s">
        <v>2</v>
      </c>
      <c r="P256" s="10"/>
    </row>
    <row r="257" spans="2:16" x14ac:dyDescent="0.25">
      <c r="B257" s="17"/>
      <c r="D257" s="3"/>
      <c r="M257" s="10"/>
      <c r="N257" s="27"/>
      <c r="O257" s="10" t="s">
        <v>2</v>
      </c>
      <c r="P257" s="10"/>
    </row>
    <row r="258" spans="2:16" x14ac:dyDescent="0.25">
      <c r="B258" s="17"/>
      <c r="D258" s="3"/>
      <c r="M258" s="10"/>
      <c r="N258" s="27"/>
      <c r="O258" s="10" t="s">
        <v>2</v>
      </c>
      <c r="P258" s="10"/>
    </row>
    <row r="259" spans="2:16" x14ac:dyDescent="0.25">
      <c r="B259" s="17"/>
      <c r="D259" s="3"/>
      <c r="M259" s="10"/>
      <c r="N259" s="27"/>
      <c r="O259" s="10" t="s">
        <v>2</v>
      </c>
      <c r="P259" s="10"/>
    </row>
    <row r="260" spans="2:16" x14ac:dyDescent="0.25">
      <c r="B260" s="17"/>
      <c r="D260" s="3"/>
      <c r="M260" s="10"/>
      <c r="N260" s="27"/>
      <c r="O260" s="10" t="s">
        <v>2</v>
      </c>
      <c r="P260" s="10"/>
    </row>
    <row r="261" spans="2:16" x14ac:dyDescent="0.25">
      <c r="B261" s="17"/>
      <c r="M261" s="10"/>
      <c r="N261" s="27"/>
      <c r="O261" s="10" t="s">
        <v>2</v>
      </c>
      <c r="P261" s="10"/>
    </row>
    <row r="262" spans="2:16" x14ac:dyDescent="0.25">
      <c r="B262" s="17"/>
      <c r="M262" s="10"/>
      <c r="N262" s="27"/>
      <c r="O262" s="10" t="s">
        <v>2</v>
      </c>
      <c r="P262" s="10"/>
    </row>
    <row r="263" spans="2:16" x14ac:dyDescent="0.25">
      <c r="B263" s="17"/>
      <c r="M263" s="10"/>
      <c r="N263" s="27"/>
      <c r="O263" s="10" t="s">
        <v>2</v>
      </c>
      <c r="P263" s="10"/>
    </row>
    <row r="264" spans="2:16" x14ac:dyDescent="0.25">
      <c r="B264" s="17"/>
      <c r="M264" s="10"/>
      <c r="N264" s="27"/>
      <c r="O264" s="10" t="s">
        <v>2</v>
      </c>
      <c r="P264" s="10"/>
    </row>
    <row r="265" spans="2:16" x14ac:dyDescent="0.25">
      <c r="B265" s="17"/>
      <c r="M265" s="10"/>
      <c r="N265" s="27"/>
      <c r="O265" s="10" t="s">
        <v>2</v>
      </c>
      <c r="P265" s="10"/>
    </row>
    <row r="266" spans="2:16" x14ac:dyDescent="0.25">
      <c r="B266" s="17"/>
      <c r="M266" s="10"/>
      <c r="N266" s="27"/>
      <c r="O266" s="10" t="s">
        <v>2</v>
      </c>
      <c r="P266" s="10"/>
    </row>
    <row r="267" spans="2:16" x14ac:dyDescent="0.25">
      <c r="B267" s="17"/>
      <c r="M267" s="10"/>
      <c r="N267" s="27"/>
      <c r="O267" s="10" t="s">
        <v>2</v>
      </c>
      <c r="P267" s="10"/>
    </row>
    <row r="268" spans="2:16" x14ac:dyDescent="0.25">
      <c r="B268" s="17"/>
      <c r="M268" s="10"/>
      <c r="N268" s="27"/>
      <c r="O268" s="10" t="s">
        <v>2</v>
      </c>
      <c r="P268" s="10"/>
    </row>
    <row r="269" spans="2:16" x14ac:dyDescent="0.25">
      <c r="B269" s="17"/>
      <c r="M269" s="10"/>
      <c r="N269" s="27"/>
      <c r="O269" s="10" t="s">
        <v>2</v>
      </c>
      <c r="P269" s="10"/>
    </row>
    <row r="270" spans="2:16" x14ac:dyDescent="0.25">
      <c r="B270" s="17"/>
      <c r="M270" s="10"/>
      <c r="N270" s="27"/>
      <c r="O270" s="10" t="s">
        <v>2</v>
      </c>
      <c r="P270" s="10"/>
    </row>
    <row r="271" spans="2:16" x14ac:dyDescent="0.25">
      <c r="B271" s="17"/>
      <c r="M271" s="10"/>
      <c r="N271" s="27"/>
      <c r="O271" s="10" t="s">
        <v>2</v>
      </c>
      <c r="P271" s="10"/>
    </row>
    <row r="272" spans="2:16" x14ac:dyDescent="0.25">
      <c r="B272" s="17"/>
      <c r="M272" s="10"/>
      <c r="N272" s="27"/>
      <c r="O272" s="10" t="s">
        <v>2</v>
      </c>
      <c r="P272" s="10"/>
    </row>
    <row r="273" spans="2:16" x14ac:dyDescent="0.25">
      <c r="B273" s="17"/>
      <c r="M273" s="10"/>
      <c r="N273" s="27"/>
      <c r="O273" s="10" t="s">
        <v>2</v>
      </c>
      <c r="P273" s="10"/>
    </row>
    <row r="274" spans="2:16" x14ac:dyDescent="0.25">
      <c r="B274" s="17"/>
      <c r="M274" s="10"/>
      <c r="N274" s="27"/>
      <c r="O274" s="10" t="s">
        <v>2</v>
      </c>
      <c r="P274" s="10"/>
    </row>
    <row r="275" spans="2:16" x14ac:dyDescent="0.25">
      <c r="B275" s="17"/>
      <c r="M275" s="10"/>
      <c r="N275" s="27"/>
      <c r="O275" s="10" t="s">
        <v>2</v>
      </c>
      <c r="P275" s="10"/>
    </row>
    <row r="276" spans="2:16" x14ac:dyDescent="0.25">
      <c r="B276" s="17"/>
      <c r="M276" s="10"/>
      <c r="N276" s="27"/>
      <c r="O276" s="10" t="s">
        <v>2</v>
      </c>
      <c r="P276" s="10"/>
    </row>
    <row r="277" spans="2:16" x14ac:dyDescent="0.25">
      <c r="B277" s="17"/>
      <c r="M277" s="10"/>
      <c r="N277" s="27"/>
      <c r="O277" s="10" t="s">
        <v>2</v>
      </c>
      <c r="P277" s="10"/>
    </row>
    <row r="278" spans="2:16" x14ac:dyDescent="0.25">
      <c r="B278" s="17"/>
      <c r="M278" s="10"/>
      <c r="N278" s="27"/>
      <c r="O278" s="10" t="s">
        <v>2</v>
      </c>
      <c r="P278" s="10"/>
    </row>
    <row r="279" spans="2:16" x14ac:dyDescent="0.25">
      <c r="B279" s="17"/>
      <c r="M279" s="10"/>
      <c r="N279" s="27"/>
      <c r="O279" s="10" t="s">
        <v>2</v>
      </c>
      <c r="P279" s="10"/>
    </row>
    <row r="280" spans="2:16" x14ac:dyDescent="0.25">
      <c r="B280" s="17"/>
      <c r="M280" s="10"/>
      <c r="N280" s="27"/>
      <c r="O280" s="10" t="s">
        <v>2</v>
      </c>
      <c r="P280" s="10"/>
    </row>
    <row r="281" spans="2:16" x14ac:dyDescent="0.25">
      <c r="B281" s="17"/>
      <c r="M281" s="10"/>
      <c r="N281" s="27"/>
      <c r="O281" s="10" t="s">
        <v>2</v>
      </c>
      <c r="P281" s="10"/>
    </row>
    <row r="282" spans="2:16" x14ac:dyDescent="0.25">
      <c r="B282" s="17"/>
      <c r="M282" s="10"/>
      <c r="N282" s="27"/>
      <c r="O282" s="10" t="s">
        <v>2</v>
      </c>
      <c r="P282" s="10"/>
    </row>
    <row r="283" spans="2:16" x14ac:dyDescent="0.25">
      <c r="B283" s="17"/>
      <c r="M283" s="10"/>
      <c r="N283" s="27"/>
      <c r="O283" s="10" t="s">
        <v>2</v>
      </c>
      <c r="P283" s="10"/>
    </row>
    <row r="284" spans="2:16" x14ac:dyDescent="0.25">
      <c r="B284" s="17"/>
      <c r="M284" s="10"/>
      <c r="N284" s="27"/>
      <c r="O284" s="10" t="s">
        <v>2</v>
      </c>
      <c r="P284" s="10"/>
    </row>
    <row r="285" spans="2:16" x14ac:dyDescent="0.25">
      <c r="B285" s="17"/>
      <c r="M285" s="10"/>
      <c r="N285" s="27"/>
      <c r="O285" s="10" t="s">
        <v>2</v>
      </c>
      <c r="P285" s="10"/>
    </row>
    <row r="286" spans="2:16" x14ac:dyDescent="0.25">
      <c r="B286" s="17"/>
      <c r="M286" s="10"/>
      <c r="N286" s="27"/>
      <c r="O286" s="10" t="s">
        <v>2</v>
      </c>
      <c r="P286" s="10"/>
    </row>
    <row r="287" spans="2:16" x14ac:dyDescent="0.25">
      <c r="B287" s="17"/>
      <c r="M287" s="10"/>
      <c r="N287" s="27"/>
      <c r="O287" s="10" t="s">
        <v>2</v>
      </c>
      <c r="P287" s="10"/>
    </row>
    <row r="288" spans="2:16" x14ac:dyDescent="0.25">
      <c r="B288" s="17"/>
      <c r="M288" s="10"/>
      <c r="N288" s="27"/>
      <c r="O288" s="10" t="s">
        <v>2</v>
      </c>
      <c r="P288" s="10"/>
    </row>
    <row r="289" spans="2:16" x14ac:dyDescent="0.25">
      <c r="B289" s="17"/>
      <c r="M289" s="10"/>
      <c r="N289" s="27"/>
      <c r="O289" s="10" t="s">
        <v>2</v>
      </c>
      <c r="P289" s="10"/>
    </row>
    <row r="290" spans="2:16" x14ac:dyDescent="0.25">
      <c r="B290" s="17"/>
      <c r="M290" s="10"/>
      <c r="N290" s="27"/>
      <c r="O290" s="10" t="s">
        <v>2</v>
      </c>
      <c r="P290" s="10"/>
    </row>
    <row r="291" spans="2:16" x14ac:dyDescent="0.25">
      <c r="B291" s="17"/>
      <c r="M291" s="10"/>
      <c r="N291" s="27"/>
      <c r="O291" s="10" t="s">
        <v>2</v>
      </c>
      <c r="P291" s="10"/>
    </row>
    <row r="292" spans="2:16" x14ac:dyDescent="0.25">
      <c r="B292" s="17"/>
      <c r="M292" s="10"/>
      <c r="N292" s="27"/>
      <c r="O292" s="10" t="s">
        <v>2</v>
      </c>
      <c r="P292" s="10"/>
    </row>
    <row r="293" spans="2:16" x14ac:dyDescent="0.25">
      <c r="B293" s="17"/>
      <c r="M293" s="10"/>
      <c r="N293" s="27"/>
      <c r="O293" s="10" t="s">
        <v>2</v>
      </c>
      <c r="P293" s="10"/>
    </row>
    <row r="294" spans="2:16" x14ac:dyDescent="0.25">
      <c r="B294" s="17"/>
      <c r="M294" s="10"/>
      <c r="N294" s="27"/>
      <c r="O294" s="10" t="s">
        <v>2</v>
      </c>
      <c r="P294" s="10"/>
    </row>
    <row r="295" spans="2:16" x14ac:dyDescent="0.25">
      <c r="B295" s="17"/>
      <c r="M295" s="10"/>
      <c r="N295" s="27"/>
      <c r="O295" s="10" t="s">
        <v>2</v>
      </c>
      <c r="P295" s="10"/>
    </row>
    <row r="296" spans="2:16" x14ac:dyDescent="0.25">
      <c r="B296" s="17"/>
      <c r="M296" s="10"/>
      <c r="N296" s="27"/>
      <c r="O296" s="10" t="s">
        <v>2</v>
      </c>
      <c r="P296" s="10"/>
    </row>
    <row r="297" spans="2:16" x14ac:dyDescent="0.25">
      <c r="B297" s="17"/>
      <c r="M297" s="10"/>
      <c r="N297" s="27"/>
      <c r="O297" s="10" t="s">
        <v>2</v>
      </c>
      <c r="P297" s="10"/>
    </row>
    <row r="298" spans="2:16" x14ac:dyDescent="0.25">
      <c r="B298" s="17"/>
      <c r="M298" s="10"/>
      <c r="N298" s="27"/>
      <c r="O298" s="10" t="s">
        <v>2</v>
      </c>
      <c r="P298" s="10"/>
    </row>
    <row r="299" spans="2:16" x14ac:dyDescent="0.25">
      <c r="B299" s="17"/>
      <c r="M299" s="10"/>
      <c r="N299" s="27"/>
      <c r="O299" s="10" t="s">
        <v>2</v>
      </c>
      <c r="P299" s="10"/>
    </row>
    <row r="300" spans="2:16" x14ac:dyDescent="0.25">
      <c r="B300" s="17"/>
      <c r="M300" s="10"/>
      <c r="N300" s="27"/>
      <c r="O300" s="10" t="s">
        <v>2</v>
      </c>
      <c r="P300" s="10"/>
    </row>
    <row r="301" spans="2:16" x14ac:dyDescent="0.25">
      <c r="B301" s="17"/>
      <c r="M301" s="10"/>
      <c r="N301" s="27"/>
      <c r="O301" s="10" t="s">
        <v>2</v>
      </c>
      <c r="P301" s="10"/>
    </row>
    <row r="302" spans="2:16" x14ac:dyDescent="0.25">
      <c r="B302" s="17"/>
      <c r="M302" s="10"/>
      <c r="N302" s="27"/>
      <c r="O302" s="10" t="s">
        <v>2</v>
      </c>
      <c r="P302" s="10"/>
    </row>
    <row r="303" spans="2:16" x14ac:dyDescent="0.25">
      <c r="B303" s="17"/>
      <c r="M303" s="10"/>
      <c r="N303" s="27"/>
      <c r="O303" s="10" t="s">
        <v>2</v>
      </c>
      <c r="P303" s="10"/>
    </row>
    <row r="304" spans="2:16" x14ac:dyDescent="0.25">
      <c r="B304" s="17"/>
      <c r="M304" s="10"/>
      <c r="N304" s="27"/>
      <c r="O304" s="10" t="s">
        <v>2</v>
      </c>
      <c r="P304" s="10"/>
    </row>
    <row r="305" spans="2:16" x14ac:dyDescent="0.25">
      <c r="B305" s="17"/>
      <c r="M305" s="10"/>
      <c r="N305" s="27"/>
      <c r="O305" s="10" t="s">
        <v>2</v>
      </c>
      <c r="P305" s="10"/>
    </row>
    <row r="306" spans="2:16" x14ac:dyDescent="0.25">
      <c r="B306" s="17"/>
      <c r="M306" s="10"/>
      <c r="N306" s="27"/>
      <c r="O306" s="10" t="s">
        <v>2</v>
      </c>
      <c r="P306" s="10"/>
    </row>
    <row r="307" spans="2:16" x14ac:dyDescent="0.25">
      <c r="B307" s="17"/>
      <c r="M307" s="10"/>
      <c r="N307" s="27"/>
      <c r="O307" s="10" t="s">
        <v>2</v>
      </c>
      <c r="P307" s="10"/>
    </row>
    <row r="308" spans="2:16" x14ac:dyDescent="0.25">
      <c r="B308" s="17"/>
      <c r="M308" s="10"/>
      <c r="N308" s="27"/>
      <c r="O308" s="10" t="s">
        <v>2</v>
      </c>
      <c r="P308" s="10"/>
    </row>
    <row r="309" spans="2:16" x14ac:dyDescent="0.25">
      <c r="B309" s="17"/>
      <c r="M309" s="10"/>
      <c r="N309" s="27"/>
      <c r="O309" s="10" t="s">
        <v>2</v>
      </c>
      <c r="P309" s="10"/>
    </row>
    <row r="310" spans="2:16" x14ac:dyDescent="0.25">
      <c r="B310" s="17"/>
      <c r="M310" s="10"/>
      <c r="N310" s="27"/>
      <c r="O310" s="10" t="s">
        <v>2</v>
      </c>
      <c r="P310" s="10"/>
    </row>
    <row r="311" spans="2:16" x14ac:dyDescent="0.25">
      <c r="B311" s="17"/>
      <c r="M311" s="10"/>
      <c r="N311" s="27"/>
      <c r="O311" s="10" t="s">
        <v>2</v>
      </c>
      <c r="P311" s="10"/>
    </row>
    <row r="312" spans="2:16" x14ac:dyDescent="0.25">
      <c r="B312" s="17"/>
      <c r="M312" s="10"/>
      <c r="N312" s="27"/>
      <c r="O312" s="10" t="s">
        <v>2</v>
      </c>
      <c r="P312" s="10"/>
    </row>
    <row r="313" spans="2:16" x14ac:dyDescent="0.25">
      <c r="B313" s="17"/>
      <c r="M313" s="10"/>
      <c r="N313" s="27"/>
      <c r="O313" s="10" t="s">
        <v>2</v>
      </c>
      <c r="P313" s="10"/>
    </row>
    <row r="314" spans="2:16" x14ac:dyDescent="0.25">
      <c r="B314" s="17"/>
      <c r="M314" s="10"/>
      <c r="N314" s="27"/>
      <c r="O314" s="10" t="s">
        <v>2</v>
      </c>
      <c r="P314" s="10"/>
    </row>
    <row r="315" spans="2:16" x14ac:dyDescent="0.25">
      <c r="B315" s="17"/>
      <c r="M315" s="10"/>
      <c r="N315" s="27"/>
      <c r="O315" s="10" t="s">
        <v>2</v>
      </c>
      <c r="P315" s="10"/>
    </row>
    <row r="316" spans="2:16" x14ac:dyDescent="0.25">
      <c r="B316" s="17"/>
      <c r="M316" s="10"/>
      <c r="N316" s="27"/>
      <c r="O316" s="10" t="s">
        <v>2</v>
      </c>
      <c r="P316" s="10"/>
    </row>
    <row r="317" spans="2:16" x14ac:dyDescent="0.25">
      <c r="B317" s="17"/>
    </row>
    <row r="318" spans="2:16" x14ac:dyDescent="0.25">
      <c r="B318" s="17"/>
    </row>
    <row r="319" spans="2:16" x14ac:dyDescent="0.25">
      <c r="B319" s="17"/>
    </row>
    <row r="320" spans="2:16" x14ac:dyDescent="0.25">
      <c r="B320" s="17"/>
    </row>
    <row r="321" spans="2:2" x14ac:dyDescent="0.25">
      <c r="B321" s="17"/>
    </row>
    <row r="322" spans="2:2" x14ac:dyDescent="0.25">
      <c r="B322" s="17"/>
    </row>
    <row r="323" spans="2:2" x14ac:dyDescent="0.25">
      <c r="B323" s="17"/>
    </row>
    <row r="324" spans="2:2" x14ac:dyDescent="0.25">
      <c r="B324" s="17"/>
    </row>
    <row r="325" spans="2:2" x14ac:dyDescent="0.25">
      <c r="B325" s="17"/>
    </row>
    <row r="326" spans="2:2" x14ac:dyDescent="0.25">
      <c r="B326" s="17"/>
    </row>
    <row r="327" spans="2:2" x14ac:dyDescent="0.25">
      <c r="B327" s="17"/>
    </row>
    <row r="328" spans="2:2" x14ac:dyDescent="0.25">
      <c r="B328" s="17"/>
    </row>
    <row r="329" spans="2:2" x14ac:dyDescent="0.25">
      <c r="B329" s="17"/>
    </row>
    <row r="330" spans="2:2" x14ac:dyDescent="0.25">
      <c r="B330" s="17"/>
    </row>
    <row r="331" spans="2:2" x14ac:dyDescent="0.25">
      <c r="B331" s="17"/>
    </row>
    <row r="332" spans="2:2" x14ac:dyDescent="0.25">
      <c r="B332" s="17"/>
    </row>
    <row r="333" spans="2:2" x14ac:dyDescent="0.25">
      <c r="B333" s="17"/>
    </row>
    <row r="334" spans="2:2" x14ac:dyDescent="0.25">
      <c r="B334" s="17"/>
    </row>
    <row r="335" spans="2:2" x14ac:dyDescent="0.25">
      <c r="B335" s="17"/>
    </row>
    <row r="336" spans="2:2" x14ac:dyDescent="0.25">
      <c r="B336" s="17"/>
    </row>
    <row r="337" spans="2:2" x14ac:dyDescent="0.25">
      <c r="B337" s="17"/>
    </row>
    <row r="338" spans="2:2" x14ac:dyDescent="0.25">
      <c r="B338" s="17"/>
    </row>
    <row r="339" spans="2:2" x14ac:dyDescent="0.25">
      <c r="B339" s="17"/>
    </row>
    <row r="340" spans="2:2" x14ac:dyDescent="0.25">
      <c r="B340" s="17"/>
    </row>
    <row r="341" spans="2:2" x14ac:dyDescent="0.25">
      <c r="B341" s="17"/>
    </row>
    <row r="342" spans="2:2" x14ac:dyDescent="0.25">
      <c r="B342" s="17"/>
    </row>
    <row r="343" spans="2:2" x14ac:dyDescent="0.25">
      <c r="B343" s="17"/>
    </row>
    <row r="344" spans="2:2" x14ac:dyDescent="0.25">
      <c r="B344" s="17"/>
    </row>
    <row r="345" spans="2:2" x14ac:dyDescent="0.25">
      <c r="B345" s="17"/>
    </row>
    <row r="346" spans="2:2" x14ac:dyDescent="0.25">
      <c r="B346" s="17"/>
    </row>
    <row r="347" spans="2:2" x14ac:dyDescent="0.25">
      <c r="B347" s="17"/>
    </row>
    <row r="348" spans="2:2" x14ac:dyDescent="0.25">
      <c r="B348" s="17"/>
    </row>
    <row r="349" spans="2:2" x14ac:dyDescent="0.25">
      <c r="B349" s="17"/>
    </row>
    <row r="350" spans="2:2" x14ac:dyDescent="0.25">
      <c r="B350" s="17"/>
    </row>
    <row r="351" spans="2:2" x14ac:dyDescent="0.25">
      <c r="B351" s="17"/>
    </row>
    <row r="352" spans="2:2" x14ac:dyDescent="0.25">
      <c r="B352" s="17"/>
    </row>
    <row r="353" spans="2:2" x14ac:dyDescent="0.25">
      <c r="B353" s="17"/>
    </row>
    <row r="354" spans="2:2" x14ac:dyDescent="0.25">
      <c r="B354" s="17"/>
    </row>
    <row r="355" spans="2:2" x14ac:dyDescent="0.25">
      <c r="B355" s="17"/>
    </row>
    <row r="356" spans="2:2" x14ac:dyDescent="0.25">
      <c r="B356" s="17"/>
    </row>
    <row r="357" spans="2:2" x14ac:dyDescent="0.25">
      <c r="B357" s="17"/>
    </row>
    <row r="358" spans="2:2" x14ac:dyDescent="0.25">
      <c r="B358" s="17"/>
    </row>
    <row r="359" spans="2:2" x14ac:dyDescent="0.25">
      <c r="B359" s="17"/>
    </row>
    <row r="360" spans="2:2" x14ac:dyDescent="0.25">
      <c r="B360" s="17"/>
    </row>
    <row r="361" spans="2:2" x14ac:dyDescent="0.25">
      <c r="B361" s="17"/>
    </row>
    <row r="362" spans="2:2" x14ac:dyDescent="0.25">
      <c r="B362" s="17"/>
    </row>
    <row r="363" spans="2:2" x14ac:dyDescent="0.25">
      <c r="B363" s="17"/>
    </row>
    <row r="364" spans="2:2" x14ac:dyDescent="0.25">
      <c r="B364" s="17"/>
    </row>
    <row r="365" spans="2:2" x14ac:dyDescent="0.25">
      <c r="B365" s="17"/>
    </row>
    <row r="366" spans="2:2" x14ac:dyDescent="0.25">
      <c r="B366" s="17"/>
    </row>
    <row r="367" spans="2:2" x14ac:dyDescent="0.25">
      <c r="B367" s="17"/>
    </row>
    <row r="368" spans="2:2" x14ac:dyDescent="0.25">
      <c r="B368" s="17"/>
    </row>
    <row r="369" spans="2:2" x14ac:dyDescent="0.25">
      <c r="B369" s="17"/>
    </row>
    <row r="370" spans="2:2" x14ac:dyDescent="0.25">
      <c r="B370" s="17"/>
    </row>
    <row r="371" spans="2:2" x14ac:dyDescent="0.25">
      <c r="B371" s="17"/>
    </row>
    <row r="372" spans="2:2" x14ac:dyDescent="0.25">
      <c r="B372" s="17"/>
    </row>
    <row r="373" spans="2:2" x14ac:dyDescent="0.25">
      <c r="B373" s="17"/>
    </row>
    <row r="374" spans="2:2" x14ac:dyDescent="0.25">
      <c r="B374" s="17"/>
    </row>
    <row r="375" spans="2:2" x14ac:dyDescent="0.25">
      <c r="B375" s="17"/>
    </row>
    <row r="376" spans="2:2" x14ac:dyDescent="0.25">
      <c r="B376" s="17"/>
    </row>
    <row r="377" spans="2:2" x14ac:dyDescent="0.25">
      <c r="B377" s="17"/>
    </row>
    <row r="378" spans="2:2" x14ac:dyDescent="0.25">
      <c r="B378" s="17"/>
    </row>
    <row r="379" spans="2:2" x14ac:dyDescent="0.25">
      <c r="B379" s="17"/>
    </row>
    <row r="380" spans="2:2" x14ac:dyDescent="0.25">
      <c r="B380" s="17"/>
    </row>
    <row r="381" spans="2:2" x14ac:dyDescent="0.25">
      <c r="B381" s="17"/>
    </row>
    <row r="382" spans="2:2" x14ac:dyDescent="0.25">
      <c r="B382" s="17"/>
    </row>
    <row r="383" spans="2:2" x14ac:dyDescent="0.25">
      <c r="B383" s="17"/>
    </row>
    <row r="384" spans="2:2" x14ac:dyDescent="0.25">
      <c r="B384" s="17"/>
    </row>
    <row r="385" spans="2:2" x14ac:dyDescent="0.25">
      <c r="B385" s="17"/>
    </row>
    <row r="386" spans="2:2" x14ac:dyDescent="0.25">
      <c r="B386" s="17"/>
    </row>
    <row r="387" spans="2:2" x14ac:dyDescent="0.25">
      <c r="B387" s="17"/>
    </row>
    <row r="388" spans="2:2" x14ac:dyDescent="0.25">
      <c r="B388" s="17"/>
    </row>
    <row r="389" spans="2:2" x14ac:dyDescent="0.25">
      <c r="B389" s="17"/>
    </row>
    <row r="390" spans="2:2" x14ac:dyDescent="0.25">
      <c r="B390" s="17"/>
    </row>
    <row r="391" spans="2:2" x14ac:dyDescent="0.25">
      <c r="B391" s="17"/>
    </row>
    <row r="392" spans="2:2" x14ac:dyDescent="0.25">
      <c r="B392" s="17"/>
    </row>
    <row r="393" spans="2:2" x14ac:dyDescent="0.25">
      <c r="B393" s="17"/>
    </row>
    <row r="394" spans="2:2" x14ac:dyDescent="0.25">
      <c r="B394" s="17"/>
    </row>
    <row r="395" spans="2:2" x14ac:dyDescent="0.25">
      <c r="B395" s="17"/>
    </row>
    <row r="396" spans="2:2" x14ac:dyDescent="0.25">
      <c r="B396" s="17"/>
    </row>
    <row r="397" spans="2:2" x14ac:dyDescent="0.25">
      <c r="B397" s="17"/>
    </row>
    <row r="398" spans="2:2" x14ac:dyDescent="0.25">
      <c r="B398" s="17"/>
    </row>
    <row r="399" spans="2:2" x14ac:dyDescent="0.25">
      <c r="B399" s="17"/>
    </row>
    <row r="400" spans="2:2" x14ac:dyDescent="0.25">
      <c r="B400" s="17"/>
    </row>
    <row r="401" spans="2:2" x14ac:dyDescent="0.25">
      <c r="B401" s="17"/>
    </row>
    <row r="402" spans="2:2" x14ac:dyDescent="0.25">
      <c r="B402" s="17"/>
    </row>
    <row r="403" spans="2:2" x14ac:dyDescent="0.25">
      <c r="B403" s="17"/>
    </row>
    <row r="404" spans="2:2" x14ac:dyDescent="0.25">
      <c r="B404" s="17"/>
    </row>
    <row r="405" spans="2:2" x14ac:dyDescent="0.25">
      <c r="B405" s="17"/>
    </row>
    <row r="406" spans="2:2" x14ac:dyDescent="0.25">
      <c r="B406" s="17"/>
    </row>
    <row r="407" spans="2:2" x14ac:dyDescent="0.25">
      <c r="B407" s="17"/>
    </row>
    <row r="408" spans="2:2" x14ac:dyDescent="0.25">
      <c r="B408" s="17"/>
    </row>
    <row r="409" spans="2:2" x14ac:dyDescent="0.25">
      <c r="B409" s="17"/>
    </row>
    <row r="410" spans="2:2" x14ac:dyDescent="0.25">
      <c r="B410" s="17"/>
    </row>
    <row r="411" spans="2:2" x14ac:dyDescent="0.25">
      <c r="B411" s="17"/>
    </row>
    <row r="412" spans="2:2" x14ac:dyDescent="0.25">
      <c r="B412" s="17"/>
    </row>
    <row r="413" spans="2:2" x14ac:dyDescent="0.25">
      <c r="B413" s="17"/>
    </row>
    <row r="414" spans="2:2" x14ac:dyDescent="0.25">
      <c r="B414" s="17"/>
    </row>
    <row r="415" spans="2:2" x14ac:dyDescent="0.25">
      <c r="B415" s="17"/>
    </row>
    <row r="416" spans="2:2" x14ac:dyDescent="0.25">
      <c r="B416" s="17"/>
    </row>
    <row r="417" spans="2:2" x14ac:dyDescent="0.25">
      <c r="B417" s="17"/>
    </row>
    <row r="418" spans="2:2" x14ac:dyDescent="0.25">
      <c r="B418" s="17"/>
    </row>
    <row r="419" spans="2:2" x14ac:dyDescent="0.25">
      <c r="B419" s="17"/>
    </row>
    <row r="420" spans="2:2" x14ac:dyDescent="0.25">
      <c r="B420" s="17"/>
    </row>
    <row r="421" spans="2:2" x14ac:dyDescent="0.25">
      <c r="B421" s="17"/>
    </row>
    <row r="422" spans="2:2" x14ac:dyDescent="0.25">
      <c r="B422" s="17"/>
    </row>
    <row r="423" spans="2:2" x14ac:dyDescent="0.25">
      <c r="B423" s="17"/>
    </row>
    <row r="424" spans="2:2" x14ac:dyDescent="0.25">
      <c r="B424" s="17"/>
    </row>
    <row r="425" spans="2:2" x14ac:dyDescent="0.25">
      <c r="B425" s="17"/>
    </row>
    <row r="426" spans="2:2" x14ac:dyDescent="0.25">
      <c r="B426" s="17"/>
    </row>
    <row r="427" spans="2:2" x14ac:dyDescent="0.25">
      <c r="B427" s="17"/>
    </row>
    <row r="428" spans="2:2" x14ac:dyDescent="0.25">
      <c r="B428" s="17"/>
    </row>
    <row r="429" spans="2:2" x14ac:dyDescent="0.25">
      <c r="B429" s="17"/>
    </row>
    <row r="430" spans="2:2" x14ac:dyDescent="0.25">
      <c r="B430" s="17"/>
    </row>
    <row r="431" spans="2:2" x14ac:dyDescent="0.25">
      <c r="B431" s="17"/>
    </row>
    <row r="432" spans="2:2" x14ac:dyDescent="0.25">
      <c r="B432" s="17"/>
    </row>
    <row r="433" spans="2:2" x14ac:dyDescent="0.25">
      <c r="B433" s="17"/>
    </row>
    <row r="434" spans="2:2" x14ac:dyDescent="0.25">
      <c r="B434" s="17"/>
    </row>
    <row r="435" spans="2:2" x14ac:dyDescent="0.25">
      <c r="B435" s="17"/>
    </row>
    <row r="436" spans="2:2" x14ac:dyDescent="0.25">
      <c r="B436" s="17"/>
    </row>
    <row r="437" spans="2:2" x14ac:dyDescent="0.25">
      <c r="B437" s="17"/>
    </row>
    <row r="438" spans="2:2" x14ac:dyDescent="0.25">
      <c r="B438" s="17"/>
    </row>
    <row r="439" spans="2:2" x14ac:dyDescent="0.25">
      <c r="B439" s="17"/>
    </row>
    <row r="440" spans="2:2" x14ac:dyDescent="0.25">
      <c r="B440" s="17"/>
    </row>
    <row r="441" spans="2:2" x14ac:dyDescent="0.25">
      <c r="B441" s="17"/>
    </row>
    <row r="442" spans="2:2" x14ac:dyDescent="0.25">
      <c r="B442" s="17"/>
    </row>
    <row r="443" spans="2:2" x14ac:dyDescent="0.25">
      <c r="B443" s="17"/>
    </row>
    <row r="444" spans="2:2" x14ac:dyDescent="0.25">
      <c r="B444" s="17"/>
    </row>
  </sheetData>
  <mergeCells count="4">
    <mergeCell ref="A119:A120"/>
    <mergeCell ref="A2:N2"/>
    <mergeCell ref="A3:N3"/>
    <mergeCell ref="A1:L1"/>
  </mergeCells>
  <pageMargins left="0.78740157480314965" right="0" top="1.1417322834645669" bottom="0.74803149606299213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rgb="FFFFC000"/>
  </sheetPr>
  <dimension ref="A1:Y33"/>
  <sheetViews>
    <sheetView showGridLines="0" showZeros="0" zoomScaleNormal="100" workbookViewId="0">
      <selection activeCell="M24" sqref="M24"/>
    </sheetView>
  </sheetViews>
  <sheetFormatPr baseColWidth="10" defaultColWidth="11.42578125" defaultRowHeight="12.75" x14ac:dyDescent="0.2"/>
  <cols>
    <col min="1" max="1" width="23.28515625" customWidth="1"/>
    <col min="2" max="2" width="14.42578125" customWidth="1"/>
    <col min="5" max="5" width="13.7109375" bestFit="1" customWidth="1"/>
    <col min="7" max="7" width="12.140625" customWidth="1"/>
    <col min="8" max="8" width="12.5703125" customWidth="1"/>
    <col min="9" max="9" width="10.140625" customWidth="1"/>
    <col min="10" max="10" width="0.140625" customWidth="1"/>
    <col min="11" max="11" width="13" customWidth="1"/>
    <col min="12" max="12" width="12" customWidth="1"/>
    <col min="13" max="13" width="24.28515625" customWidth="1"/>
    <col min="15" max="17" width="0" hidden="1" customWidth="1"/>
    <col min="18" max="18" width="22.42578125" bestFit="1" customWidth="1"/>
    <col min="20" max="20" width="1.42578125" customWidth="1"/>
    <col min="21" max="21" width="3.140625" customWidth="1"/>
    <col min="22" max="22" width="0.42578125" customWidth="1"/>
    <col min="23" max="23" width="1.5703125" customWidth="1"/>
    <col min="24" max="24" width="0.42578125" customWidth="1"/>
  </cols>
  <sheetData>
    <row r="1" spans="1:25" ht="15.75" x14ac:dyDescent="0.25">
      <c r="A1" s="34" t="s">
        <v>2</v>
      </c>
      <c r="B1" s="46" t="s">
        <v>2</v>
      </c>
      <c r="C1" s="46"/>
      <c r="D1" s="46"/>
      <c r="E1" s="46"/>
      <c r="F1" s="46"/>
      <c r="G1" s="46"/>
      <c r="H1" s="46"/>
      <c r="I1" s="34"/>
    </row>
    <row r="2" spans="1:25" ht="15" x14ac:dyDescent="0.2">
      <c r="A2" s="283" t="s">
        <v>415</v>
      </c>
      <c r="B2" s="283"/>
      <c r="C2" s="283"/>
      <c r="D2" s="283"/>
      <c r="E2" s="283"/>
      <c r="F2" s="283"/>
      <c r="G2" s="283"/>
      <c r="H2" s="283"/>
      <c r="I2" s="283"/>
    </row>
    <row r="3" spans="1:25" ht="15" x14ac:dyDescent="0.2">
      <c r="A3" s="283" t="s">
        <v>413</v>
      </c>
      <c r="B3" s="283"/>
      <c r="C3" s="283"/>
      <c r="D3" s="283"/>
      <c r="E3" s="283"/>
      <c r="F3" s="283"/>
      <c r="G3" s="283"/>
      <c r="H3" s="283"/>
      <c r="I3" s="28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4.25" x14ac:dyDescent="0.2">
      <c r="A4" s="37"/>
      <c r="B4" s="36"/>
      <c r="C4" s="36"/>
      <c r="D4" s="36"/>
      <c r="E4" s="36"/>
      <c r="F4" s="36"/>
      <c r="G4" s="36"/>
      <c r="H4" s="36"/>
      <c r="I4" s="34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2.75" customHeight="1" x14ac:dyDescent="0.2">
      <c r="A5" s="284" t="s">
        <v>0</v>
      </c>
      <c r="B5" s="286" t="s">
        <v>19</v>
      </c>
      <c r="C5" s="288" t="s">
        <v>20</v>
      </c>
      <c r="D5" s="288"/>
      <c r="E5" s="288" t="s">
        <v>21</v>
      </c>
      <c r="F5" s="288"/>
      <c r="G5" s="288" t="s">
        <v>14</v>
      </c>
      <c r="H5" s="288"/>
      <c r="I5" s="232" t="s">
        <v>3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24.75" customHeight="1" x14ac:dyDescent="0.2">
      <c r="A6" s="285"/>
      <c r="B6" s="287"/>
      <c r="C6" s="233" t="s">
        <v>4</v>
      </c>
      <c r="D6" s="233" t="s">
        <v>1</v>
      </c>
      <c r="E6" s="233" t="s">
        <v>18</v>
      </c>
      <c r="F6" s="233" t="s">
        <v>22</v>
      </c>
      <c r="G6" s="233" t="s">
        <v>15</v>
      </c>
      <c r="H6" s="233" t="s">
        <v>16</v>
      </c>
      <c r="I6" s="234" t="s">
        <v>23</v>
      </c>
      <c r="J6" s="8" t="s">
        <v>22</v>
      </c>
      <c r="K6" s="3"/>
      <c r="L6" s="31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0.100000000000001" customHeight="1" x14ac:dyDescent="0.2">
      <c r="A7" s="50"/>
      <c r="B7" s="59"/>
      <c r="C7" s="60"/>
      <c r="D7" s="61"/>
      <c r="E7" s="61"/>
      <c r="F7" s="61"/>
      <c r="G7" s="61"/>
      <c r="H7" s="61"/>
      <c r="I7" s="36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20.100000000000001" customHeight="1" x14ac:dyDescent="0.3">
      <c r="A8" s="51" t="s">
        <v>5</v>
      </c>
      <c r="B8" s="62"/>
      <c r="C8" s="78">
        <f>+C10+C22</f>
        <v>128168000</v>
      </c>
      <c r="D8" s="78">
        <f>+D10+D22</f>
        <v>120021162</v>
      </c>
      <c r="E8" s="78">
        <f>+E10+E22</f>
        <v>481038.58000000007</v>
      </c>
      <c r="F8" s="78">
        <f>+F10+F22</f>
        <v>100097996.94</v>
      </c>
      <c r="G8" s="82">
        <f>+F8-D8</f>
        <v>-19923165.060000002</v>
      </c>
      <c r="H8" s="83">
        <f>F8-C8</f>
        <v>-28070003.060000002</v>
      </c>
      <c r="I8" s="81">
        <f>+F8/D8*100</f>
        <v>83.400289808892197</v>
      </c>
      <c r="J8">
        <v>99616958.359999999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20.100000000000001" customHeight="1" x14ac:dyDescent="0.25">
      <c r="A9" s="52"/>
      <c r="B9" s="38"/>
      <c r="C9" s="40"/>
      <c r="D9" s="40"/>
      <c r="E9" s="40"/>
      <c r="F9" s="40"/>
      <c r="G9" s="44"/>
      <c r="H9" s="64"/>
      <c r="I9" s="48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20.100000000000001" customHeight="1" x14ac:dyDescent="0.3">
      <c r="A10" s="53" t="s">
        <v>6</v>
      </c>
      <c r="B10" s="38"/>
      <c r="C10" s="78">
        <f>SUM(C12:C20)</f>
        <v>18843505</v>
      </c>
      <c r="D10" s="78">
        <f>SUM(D12:D20)</f>
        <v>18122589</v>
      </c>
      <c r="E10" s="78">
        <f>SUM(E12:E20)</f>
        <v>481038.58000000007</v>
      </c>
      <c r="F10" s="78">
        <f>SUM(F12:F20)</f>
        <v>13634233.940000001</v>
      </c>
      <c r="G10" s="79">
        <f>+F10-D10</f>
        <v>-4488355.0599999987</v>
      </c>
      <c r="H10" s="80">
        <f>+F10-C10</f>
        <v>-5209271.0599999987</v>
      </c>
      <c r="I10" s="81">
        <f>+F10/D10*100</f>
        <v>75.233367263363988</v>
      </c>
      <c r="J10">
        <v>13153195.359999999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20.100000000000001" customHeight="1" x14ac:dyDescent="0.2">
      <c r="A11" s="45"/>
      <c r="B11" s="38"/>
      <c r="C11" s="40"/>
      <c r="D11" s="40" t="s">
        <v>2</v>
      </c>
      <c r="E11" s="40"/>
      <c r="F11" s="40" t="s">
        <v>2</v>
      </c>
      <c r="G11" s="44"/>
      <c r="H11" s="64"/>
      <c r="I11" s="48"/>
      <c r="J11" t="s">
        <v>2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20.100000000000001" customHeight="1" x14ac:dyDescent="0.2">
      <c r="A12" s="54" t="s">
        <v>7</v>
      </c>
      <c r="B12" s="39" t="s">
        <v>24</v>
      </c>
      <c r="C12" s="41">
        <v>662200</v>
      </c>
      <c r="D12" s="41">
        <v>607013</v>
      </c>
      <c r="E12" s="41">
        <f>38774.3+6130.05</f>
        <v>44904.350000000006</v>
      </c>
      <c r="F12" s="41">
        <f>+E12+J12</f>
        <v>411727.45999999996</v>
      </c>
      <c r="G12" s="65">
        <f>+F12-D12</f>
        <v>-195285.54000000004</v>
      </c>
      <c r="H12" s="65">
        <f t="shared" ref="H12:H20" si="0">+F12-C12</f>
        <v>-250472.54000000004</v>
      </c>
      <c r="I12" s="48">
        <f>+F12/D12*100</f>
        <v>67.828441894984124</v>
      </c>
      <c r="J12">
        <v>366823.11</v>
      </c>
      <c r="K12" s="3"/>
      <c r="L12" s="30"/>
      <c r="M12" s="32"/>
      <c r="N12" s="30"/>
      <c r="O12" s="3"/>
      <c r="P12" s="3"/>
      <c r="Q12" s="3"/>
      <c r="R12" s="255"/>
      <c r="S12" s="256"/>
      <c r="T12" s="256"/>
      <c r="U12" s="257"/>
      <c r="V12" s="257"/>
      <c r="W12" s="258"/>
      <c r="X12" s="257"/>
      <c r="Y12" s="257"/>
    </row>
    <row r="13" spans="1:25" ht="20.100000000000001" customHeight="1" x14ac:dyDescent="0.2">
      <c r="A13" s="54" t="s">
        <v>8</v>
      </c>
      <c r="B13" s="39" t="s">
        <v>25</v>
      </c>
      <c r="C13" s="41">
        <v>6734600</v>
      </c>
      <c r="D13" s="41">
        <v>6689427</v>
      </c>
      <c r="E13" s="41">
        <f>104291.16+15628.03</f>
        <v>119919.19</v>
      </c>
      <c r="F13" s="41">
        <f t="shared" ref="F13:F20" si="1">+E13+J13</f>
        <v>1858732.65</v>
      </c>
      <c r="G13" s="65">
        <f t="shared" ref="G13:G18" si="2">+F13-D13</f>
        <v>-4830694.3499999996</v>
      </c>
      <c r="H13" s="65">
        <f t="shared" si="0"/>
        <v>-4875867.3499999996</v>
      </c>
      <c r="I13" s="48">
        <f>+F13/D13*100</f>
        <v>27.786126524738215</v>
      </c>
      <c r="J13">
        <v>1738813.46</v>
      </c>
      <c r="K13" s="3"/>
      <c r="L13" s="30"/>
      <c r="M13" s="32"/>
      <c r="N13" s="3"/>
      <c r="O13" s="3"/>
      <c r="P13" s="3"/>
      <c r="Q13" s="3"/>
      <c r="R13" s="3"/>
      <c r="S13" s="256"/>
      <c r="T13" s="256"/>
      <c r="U13" s="257"/>
      <c r="V13" s="257"/>
      <c r="W13" s="258"/>
      <c r="X13" s="257"/>
      <c r="Y13" s="257"/>
    </row>
    <row r="14" spans="1:25" ht="20.100000000000001" customHeight="1" x14ac:dyDescent="0.2">
      <c r="A14" s="55" t="s">
        <v>26</v>
      </c>
      <c r="B14" s="39" t="s">
        <v>27</v>
      </c>
      <c r="C14" s="41"/>
      <c r="D14" s="41"/>
      <c r="E14" s="41">
        <v>0</v>
      </c>
      <c r="F14" s="41">
        <f t="shared" si="1"/>
        <v>0</v>
      </c>
      <c r="G14" s="66">
        <f t="shared" si="2"/>
        <v>0</v>
      </c>
      <c r="H14" s="65">
        <f t="shared" si="0"/>
        <v>0</v>
      </c>
      <c r="I14" s="48">
        <v>0</v>
      </c>
      <c r="J14">
        <v>0</v>
      </c>
      <c r="K14" s="3"/>
      <c r="L14" s="30"/>
      <c r="M14" s="32"/>
      <c r="N14" s="3"/>
      <c r="O14" s="3"/>
      <c r="P14" s="3"/>
      <c r="Q14" s="3"/>
      <c r="R14" s="3"/>
      <c r="S14" s="256"/>
      <c r="T14" s="256"/>
      <c r="U14" s="257"/>
      <c r="V14" s="257"/>
      <c r="W14" s="258"/>
      <c r="X14" s="257"/>
      <c r="Y14" s="257"/>
    </row>
    <row r="15" spans="1:25" ht="20.100000000000001" customHeight="1" x14ac:dyDescent="0.2">
      <c r="A15" s="55" t="s">
        <v>9</v>
      </c>
      <c r="B15" s="39" t="s">
        <v>28</v>
      </c>
      <c r="C15" s="41">
        <v>5502945</v>
      </c>
      <c r="D15" s="41">
        <v>5044369</v>
      </c>
      <c r="E15" s="41">
        <f>855.37+122853.16-105.16</f>
        <v>123603.37</v>
      </c>
      <c r="F15" s="41">
        <f t="shared" si="1"/>
        <v>4527974.96</v>
      </c>
      <c r="G15" s="65">
        <f t="shared" si="2"/>
        <v>-516394.04000000004</v>
      </c>
      <c r="H15" s="65">
        <f t="shared" si="0"/>
        <v>-974970.04</v>
      </c>
      <c r="I15" s="48">
        <f>+F15/D15*100</f>
        <v>89.762960639873896</v>
      </c>
      <c r="J15">
        <v>4404371.59</v>
      </c>
      <c r="K15" s="3"/>
      <c r="L15" s="30"/>
      <c r="M15" s="32"/>
      <c r="N15" s="3"/>
      <c r="O15" s="3"/>
      <c r="P15" s="3"/>
      <c r="Q15" s="3"/>
      <c r="R15" s="3"/>
      <c r="S15" s="256"/>
      <c r="T15" s="256"/>
      <c r="U15" s="257"/>
      <c r="V15" s="257"/>
      <c r="W15" s="258"/>
      <c r="X15" s="257"/>
      <c r="Y15" s="257"/>
    </row>
    <row r="16" spans="1:25" ht="20.100000000000001" customHeight="1" x14ac:dyDescent="0.2">
      <c r="A16" s="55" t="s">
        <v>10</v>
      </c>
      <c r="B16" s="39" t="s">
        <v>29</v>
      </c>
      <c r="C16" s="41">
        <v>64260</v>
      </c>
      <c r="D16" s="41">
        <v>58905</v>
      </c>
      <c r="E16" s="41">
        <v>98</v>
      </c>
      <c r="F16" s="41">
        <f t="shared" si="1"/>
        <v>59514.399999999994</v>
      </c>
      <c r="G16" s="65">
        <f t="shared" si="2"/>
        <v>609.39999999999418</v>
      </c>
      <c r="H16" s="65">
        <f t="shared" si="0"/>
        <v>-4745.6000000000058</v>
      </c>
      <c r="I16" s="48" t="s">
        <v>2</v>
      </c>
      <c r="J16">
        <v>59416.399999999994</v>
      </c>
      <c r="K16" s="3"/>
      <c r="L16" s="30"/>
      <c r="M16" s="32"/>
      <c r="N16" s="3"/>
      <c r="O16" s="3"/>
      <c r="P16" s="3"/>
      <c r="Q16" s="3"/>
      <c r="R16" s="3"/>
      <c r="S16" s="256"/>
      <c r="T16" s="256"/>
      <c r="U16" s="257"/>
      <c r="V16" s="257"/>
      <c r="W16" s="258"/>
      <c r="X16" s="257"/>
      <c r="Y16" s="257"/>
    </row>
    <row r="17" spans="1:25" ht="20.100000000000001" customHeight="1" x14ac:dyDescent="0.2">
      <c r="A17" s="55" t="s">
        <v>11</v>
      </c>
      <c r="B17" s="39" t="s">
        <v>30</v>
      </c>
      <c r="C17" s="41">
        <v>1247295</v>
      </c>
      <c r="D17" s="41">
        <v>1143351</v>
      </c>
      <c r="E17" s="41">
        <v>31590.959999999999</v>
      </c>
      <c r="F17" s="41">
        <f t="shared" si="1"/>
        <v>569508.6399999999</v>
      </c>
      <c r="G17" s="65">
        <f t="shared" si="2"/>
        <v>-573842.3600000001</v>
      </c>
      <c r="H17" s="65">
        <f t="shared" si="0"/>
        <v>-677786.3600000001</v>
      </c>
      <c r="I17" s="48">
        <f>+F17/D17*100</f>
        <v>49.810481645618879</v>
      </c>
      <c r="J17">
        <v>537917.67999999993</v>
      </c>
      <c r="K17" s="265"/>
      <c r="L17" s="30"/>
      <c r="M17" s="32"/>
      <c r="N17" s="3"/>
      <c r="O17" s="3"/>
      <c r="P17" s="3"/>
      <c r="Q17" s="3"/>
      <c r="R17" s="3"/>
      <c r="S17" s="256"/>
      <c r="T17" s="256"/>
      <c r="U17" s="257"/>
      <c r="V17" s="257"/>
      <c r="W17" s="258"/>
      <c r="X17" s="257"/>
      <c r="Y17" s="257"/>
    </row>
    <row r="18" spans="1:25" ht="20.100000000000001" customHeight="1" x14ac:dyDescent="0.2">
      <c r="A18" s="55" t="s">
        <v>12</v>
      </c>
      <c r="B18" s="39" t="s">
        <v>31</v>
      </c>
      <c r="C18" s="41">
        <v>632205</v>
      </c>
      <c r="D18" s="41">
        <v>579524</v>
      </c>
      <c r="E18" s="41">
        <f>156626.65+4296.06</f>
        <v>160922.71</v>
      </c>
      <c r="F18" s="41">
        <f t="shared" si="1"/>
        <v>2206775.83</v>
      </c>
      <c r="G18" s="66">
        <f t="shared" si="2"/>
        <v>1627251.83</v>
      </c>
      <c r="H18" s="65">
        <f t="shared" si="0"/>
        <v>1574570.83</v>
      </c>
      <c r="I18" s="48">
        <f>+F18/D18*100</f>
        <v>380.79110269807637</v>
      </c>
      <c r="J18">
        <v>2045853.12</v>
      </c>
      <c r="K18" s="265"/>
      <c r="L18" s="30"/>
      <c r="M18" s="32"/>
      <c r="N18" s="30"/>
      <c r="O18" s="3"/>
      <c r="P18" s="3"/>
      <c r="Q18" s="3"/>
      <c r="R18" s="3"/>
      <c r="S18" s="256"/>
      <c r="T18" s="256"/>
      <c r="U18" s="257"/>
      <c r="V18" s="257"/>
      <c r="W18" s="258"/>
      <c r="X18" s="257"/>
      <c r="Y18" s="257"/>
    </row>
    <row r="19" spans="1:25" ht="20.100000000000001" customHeight="1" x14ac:dyDescent="0.2">
      <c r="A19" s="55" t="s">
        <v>32</v>
      </c>
      <c r="B19" s="39" t="s">
        <v>33</v>
      </c>
      <c r="C19" s="41"/>
      <c r="D19" s="41"/>
      <c r="E19" s="67"/>
      <c r="F19" s="41">
        <f t="shared" si="1"/>
        <v>0</v>
      </c>
      <c r="G19" s="66" t="s">
        <v>2</v>
      </c>
      <c r="H19" s="65" t="s">
        <v>2</v>
      </c>
      <c r="I19" s="48">
        <v>0</v>
      </c>
      <c r="J19">
        <v>0</v>
      </c>
      <c r="K19" s="3"/>
      <c r="L19" s="30"/>
      <c r="M19" s="32"/>
      <c r="N19" s="3"/>
      <c r="O19" s="3"/>
      <c r="P19" s="3"/>
      <c r="Q19" s="3"/>
      <c r="R19" s="3"/>
      <c r="S19" s="256"/>
      <c r="T19" s="256"/>
      <c r="U19" s="257"/>
      <c r="V19" s="257"/>
      <c r="W19" s="257"/>
      <c r="X19" s="257"/>
      <c r="Y19" s="257"/>
    </row>
    <row r="20" spans="1:25" ht="20.100000000000001" customHeight="1" x14ac:dyDescent="0.2">
      <c r="A20" s="55" t="s">
        <v>34</v>
      </c>
      <c r="B20" s="39" t="s">
        <v>35</v>
      </c>
      <c r="C20" s="41">
        <v>4000000</v>
      </c>
      <c r="D20" s="41">
        <v>4000000</v>
      </c>
      <c r="E20" s="41">
        <v>0</v>
      </c>
      <c r="F20" s="41">
        <f t="shared" si="1"/>
        <v>4000000</v>
      </c>
      <c r="G20" s="66">
        <f>+F20-D20</f>
        <v>0</v>
      </c>
      <c r="H20" s="65">
        <f t="shared" si="0"/>
        <v>0</v>
      </c>
      <c r="I20" s="48">
        <f>+F20/D20*100</f>
        <v>100</v>
      </c>
      <c r="J20">
        <v>4000000</v>
      </c>
      <c r="K20" s="3"/>
      <c r="L20" s="30"/>
      <c r="M20" s="32"/>
      <c r="N20" s="3"/>
      <c r="O20" s="3"/>
      <c r="P20" s="3"/>
      <c r="Q20" s="3"/>
      <c r="R20" s="3"/>
      <c r="S20" s="256"/>
      <c r="T20" s="256"/>
      <c r="U20" s="257"/>
      <c r="V20" s="257"/>
      <c r="W20" s="257"/>
      <c r="X20" s="257"/>
      <c r="Y20" s="257"/>
    </row>
    <row r="21" spans="1:25" ht="20.100000000000001" customHeight="1" x14ac:dyDescent="0.2">
      <c r="A21" s="36"/>
      <c r="B21" s="68"/>
      <c r="C21" s="41"/>
      <c r="D21" s="41" t="s">
        <v>2</v>
      </c>
      <c r="E21" s="41" t="s">
        <v>2</v>
      </c>
      <c r="F21" s="41" t="s">
        <v>2</v>
      </c>
      <c r="G21" s="65"/>
      <c r="H21" s="65" t="s">
        <v>2</v>
      </c>
      <c r="I21" s="48"/>
      <c r="J21" t="s">
        <v>2</v>
      </c>
      <c r="K21" s="3"/>
      <c r="L21" s="30"/>
      <c r="M21" s="32"/>
      <c r="N21" s="3"/>
      <c r="O21" s="3"/>
      <c r="P21" s="3"/>
      <c r="Q21" s="3"/>
      <c r="R21" s="3"/>
      <c r="S21" s="256"/>
      <c r="T21" s="256"/>
      <c r="U21" s="257"/>
      <c r="V21" s="257"/>
      <c r="W21" s="257"/>
      <c r="X21" s="257"/>
      <c r="Y21" s="257"/>
    </row>
    <row r="22" spans="1:25" ht="20.100000000000001" customHeight="1" x14ac:dyDescent="0.2">
      <c r="A22" s="56" t="s">
        <v>13</v>
      </c>
      <c r="B22" s="68"/>
      <c r="C22" s="63">
        <f>+C24+C30</f>
        <v>109324495</v>
      </c>
      <c r="D22" s="63">
        <f>+D24+D30</f>
        <v>101898573</v>
      </c>
      <c r="E22" s="63">
        <f>+E24+E30</f>
        <v>0</v>
      </c>
      <c r="F22" s="63">
        <f>+F24+F30</f>
        <v>86463763</v>
      </c>
      <c r="G22" s="69">
        <f>+F22-D22</f>
        <v>-15434810</v>
      </c>
      <c r="H22" s="69">
        <f>+F22-C22</f>
        <v>-22860732</v>
      </c>
      <c r="I22" s="47">
        <f>+F22/D22*100</f>
        <v>84.85277119631499</v>
      </c>
      <c r="J22">
        <v>86463763</v>
      </c>
      <c r="K22" s="30"/>
      <c r="L22" s="30"/>
      <c r="M22" s="32"/>
      <c r="N22" s="3"/>
      <c r="O22" s="3"/>
      <c r="P22" s="3"/>
      <c r="Q22" s="3"/>
      <c r="R22" s="3"/>
      <c r="S22" s="259"/>
      <c r="T22" s="259"/>
      <c r="U22" s="257"/>
      <c r="V22" s="257"/>
      <c r="W22" s="257"/>
      <c r="X22" s="257"/>
      <c r="Y22" s="257"/>
    </row>
    <row r="23" spans="1:25" ht="20.100000000000001" customHeight="1" x14ac:dyDescent="0.2">
      <c r="A23" s="35" t="s">
        <v>2</v>
      </c>
      <c r="B23" s="68"/>
      <c r="C23" s="41"/>
      <c r="D23" s="41"/>
      <c r="E23" s="41"/>
      <c r="F23" s="41" t="s">
        <v>2</v>
      </c>
      <c r="G23" s="65"/>
      <c r="H23" s="65"/>
      <c r="I23" s="48"/>
      <c r="J23" t="s">
        <v>2</v>
      </c>
      <c r="K23" s="3"/>
      <c r="L23" s="30"/>
      <c r="M23" s="32"/>
      <c r="N23" s="3"/>
      <c r="O23" s="3"/>
      <c r="P23" s="3"/>
      <c r="Q23" s="3"/>
      <c r="R23" s="3"/>
      <c r="S23" s="256"/>
      <c r="T23" s="256"/>
      <c r="U23" s="257"/>
      <c r="V23" s="257"/>
      <c r="W23" s="257"/>
      <c r="X23" s="257"/>
      <c r="Y23" s="257"/>
    </row>
    <row r="24" spans="1:25" ht="23.25" customHeight="1" x14ac:dyDescent="0.2">
      <c r="A24" s="57" t="s">
        <v>36</v>
      </c>
      <c r="B24" s="39" t="s">
        <v>37</v>
      </c>
      <c r="C24" s="40">
        <f>SUM(C26:C28)</f>
        <v>87013795</v>
      </c>
      <c r="D24" s="40">
        <f>+D26+D28</f>
        <v>79587873</v>
      </c>
      <c r="E24" s="40">
        <f>SUM(E26:E28)</f>
        <v>0</v>
      </c>
      <c r="F24" s="40">
        <f>+F26+F27+F28</f>
        <v>64153063</v>
      </c>
      <c r="G24" s="64">
        <f>+F24-D24</f>
        <v>-15434810</v>
      </c>
      <c r="H24" s="64">
        <f>+F24-C24</f>
        <v>-22860732</v>
      </c>
      <c r="I24" s="49">
        <f>+F24/D24*100</f>
        <v>80.606580603052421</v>
      </c>
      <c r="J24">
        <v>64153063</v>
      </c>
      <c r="K24" s="3"/>
      <c r="L24" s="30"/>
      <c r="M24" s="32"/>
      <c r="N24" s="3"/>
      <c r="O24" s="3"/>
      <c r="P24" s="3"/>
      <c r="Q24" s="3"/>
      <c r="R24" s="3"/>
      <c r="S24" s="259"/>
      <c r="T24" s="259"/>
      <c r="U24" s="257"/>
      <c r="V24" s="257"/>
      <c r="W24" s="257"/>
      <c r="X24" s="257"/>
      <c r="Y24" s="257"/>
    </row>
    <row r="25" spans="1:25" ht="20.100000000000001" customHeight="1" x14ac:dyDescent="0.2">
      <c r="A25" s="36" t="s">
        <v>2</v>
      </c>
      <c r="B25" s="39"/>
      <c r="C25" s="41" t="s">
        <v>2</v>
      </c>
      <c r="D25" s="41"/>
      <c r="E25" s="41" t="s">
        <v>2</v>
      </c>
      <c r="F25" s="41" t="s">
        <v>2</v>
      </c>
      <c r="G25" s="65"/>
      <c r="H25" s="65"/>
      <c r="I25" s="48" t="s">
        <v>2</v>
      </c>
      <c r="J25" t="s">
        <v>2</v>
      </c>
      <c r="K25" s="3"/>
      <c r="L25" s="30"/>
      <c r="M25" s="32"/>
      <c r="N25" s="3"/>
      <c r="O25" s="3"/>
      <c r="P25" s="3"/>
      <c r="Q25" s="3"/>
      <c r="R25" s="3"/>
      <c r="S25" s="256"/>
      <c r="T25" s="256"/>
      <c r="U25" s="257"/>
      <c r="V25" s="257"/>
      <c r="W25" s="257"/>
      <c r="X25" s="257"/>
      <c r="Y25" s="257"/>
    </row>
    <row r="26" spans="1:25" ht="20.100000000000001" customHeight="1" x14ac:dyDescent="0.2">
      <c r="A26" s="58" t="s">
        <v>38</v>
      </c>
      <c r="B26" s="39"/>
      <c r="C26" s="41">
        <v>79431743</v>
      </c>
      <c r="D26" s="41">
        <v>72667543</v>
      </c>
      <c r="E26" s="70">
        <v>0</v>
      </c>
      <c r="F26" s="41">
        <f t="shared" ref="F26:F27" si="3">+E26+J26</f>
        <v>57894545</v>
      </c>
      <c r="G26" s="65">
        <f>+F26-D26</f>
        <v>-14772998</v>
      </c>
      <c r="H26" s="65">
        <f>+F26-C26</f>
        <v>-21537198</v>
      </c>
      <c r="I26" s="48">
        <f>+F26/D26*100</f>
        <v>79.670431405668964</v>
      </c>
      <c r="J26">
        <v>57894545</v>
      </c>
      <c r="K26" s="3"/>
      <c r="L26" s="30"/>
      <c r="M26" s="32"/>
      <c r="N26" s="3"/>
      <c r="O26" s="3"/>
      <c r="P26" s="3"/>
      <c r="Q26" s="3"/>
      <c r="R26" s="3"/>
      <c r="S26" s="256"/>
      <c r="T26" s="256"/>
      <c r="U26" s="257"/>
      <c r="V26" s="257"/>
      <c r="W26" s="257"/>
      <c r="X26" s="257"/>
      <c r="Y26" s="257"/>
    </row>
    <row r="27" spans="1:25" ht="20.100000000000001" customHeight="1" x14ac:dyDescent="0.2">
      <c r="A27" s="58" t="s">
        <v>39</v>
      </c>
      <c r="B27" s="39" t="s">
        <v>2</v>
      </c>
      <c r="C27" s="41">
        <v>0</v>
      </c>
      <c r="D27" s="41"/>
      <c r="E27" s="70">
        <v>0</v>
      </c>
      <c r="F27" s="41">
        <f t="shared" si="3"/>
        <v>0</v>
      </c>
      <c r="G27" s="65">
        <f>+F27-D27</f>
        <v>0</v>
      </c>
      <c r="H27" s="65">
        <f>+F27-C27</f>
        <v>0</v>
      </c>
      <c r="I27" s="48" t="s">
        <v>2</v>
      </c>
      <c r="J27">
        <v>0</v>
      </c>
      <c r="K27" s="3"/>
      <c r="L27" s="30"/>
      <c r="M27" s="32"/>
      <c r="N27" s="3"/>
      <c r="O27" s="3"/>
      <c r="P27" s="3"/>
      <c r="Q27" s="3"/>
      <c r="R27" s="3"/>
      <c r="S27" s="256"/>
      <c r="T27" s="256"/>
      <c r="U27" s="257"/>
      <c r="V27" s="257"/>
      <c r="W27" s="257"/>
      <c r="X27" s="257"/>
      <c r="Y27" s="257"/>
    </row>
    <row r="28" spans="1:25" ht="20.100000000000001" customHeight="1" x14ac:dyDescent="0.2">
      <c r="A28" s="58" t="s">
        <v>40</v>
      </c>
      <c r="B28" s="39"/>
      <c r="C28" s="41">
        <v>7582052</v>
      </c>
      <c r="D28" s="41">
        <v>6920330</v>
      </c>
      <c r="E28" s="70">
        <v>0</v>
      </c>
      <c r="F28" s="41">
        <f>+E28+J28</f>
        <v>6258518</v>
      </c>
      <c r="G28" s="65">
        <f>+F28-D28</f>
        <v>-661812</v>
      </c>
      <c r="H28" s="65">
        <f>+F28-C28</f>
        <v>-1323534</v>
      </c>
      <c r="I28" s="48">
        <f>+F28/D28*100</f>
        <v>90.436698827946074</v>
      </c>
      <c r="J28">
        <v>6258518</v>
      </c>
      <c r="K28" s="3"/>
      <c r="L28" s="30"/>
      <c r="M28" s="32"/>
      <c r="N28" s="3"/>
      <c r="O28" s="3"/>
      <c r="P28" s="3"/>
      <c r="Q28" s="3"/>
      <c r="R28" s="3"/>
      <c r="S28" s="256"/>
      <c r="T28" s="256"/>
      <c r="U28" s="257"/>
      <c r="V28" s="257"/>
      <c r="W28" s="257"/>
      <c r="X28" s="257"/>
      <c r="Y28" s="257"/>
    </row>
    <row r="29" spans="1:25" ht="20.100000000000001" customHeight="1" x14ac:dyDescent="0.2">
      <c r="A29" s="36" t="s">
        <v>2</v>
      </c>
      <c r="B29" s="39"/>
      <c r="C29" s="41" t="s">
        <v>2</v>
      </c>
      <c r="D29" s="70" t="s">
        <v>2</v>
      </c>
      <c r="E29" s="70" t="s">
        <v>2</v>
      </c>
      <c r="F29" s="70" t="s">
        <v>2</v>
      </c>
      <c r="G29" s="43"/>
      <c r="H29" s="42"/>
      <c r="I29" s="48"/>
      <c r="J29" t="s">
        <v>2</v>
      </c>
      <c r="K29" s="3"/>
      <c r="L29" s="30"/>
      <c r="M29" s="32"/>
      <c r="N29" s="3"/>
      <c r="O29" s="3"/>
      <c r="P29" s="3"/>
      <c r="Q29" s="3"/>
      <c r="R29" s="3"/>
      <c r="S29" s="256"/>
      <c r="T29" s="256"/>
      <c r="U29" s="257"/>
      <c r="V29" s="257"/>
      <c r="W29" s="257"/>
      <c r="X29" s="257"/>
      <c r="Y29" s="257"/>
    </row>
    <row r="30" spans="1:25" ht="23.25" customHeight="1" x14ac:dyDescent="0.2">
      <c r="A30" s="57" t="s">
        <v>41</v>
      </c>
      <c r="B30" s="39" t="s">
        <v>42</v>
      </c>
      <c r="C30" s="40">
        <v>22310700</v>
      </c>
      <c r="D30" s="40">
        <v>22310700</v>
      </c>
      <c r="E30" s="71">
        <v>0</v>
      </c>
      <c r="F30" s="71">
        <f>+E30+J30</f>
        <v>22310700</v>
      </c>
      <c r="G30" s="44">
        <f>+F30-D30</f>
        <v>0</v>
      </c>
      <c r="H30" s="44">
        <f>+F30-C30</f>
        <v>0</v>
      </c>
      <c r="I30" s="49">
        <f>+F30/D30*100</f>
        <v>100</v>
      </c>
      <c r="J30">
        <v>22310700</v>
      </c>
      <c r="K30" s="3"/>
      <c r="L30" s="30"/>
      <c r="M30" s="32"/>
      <c r="N30" s="3"/>
      <c r="O30" s="3"/>
      <c r="P30" s="3"/>
      <c r="Q30" s="3"/>
      <c r="R30" s="3"/>
      <c r="S30" s="260"/>
      <c r="T30" s="260"/>
      <c r="U30" s="257"/>
      <c r="V30" s="257"/>
      <c r="W30" s="257"/>
      <c r="X30" s="257"/>
      <c r="Y30" s="257"/>
    </row>
    <row r="31" spans="1:25" ht="20.100000000000001" customHeight="1" x14ac:dyDescent="0.2">
      <c r="A31" s="72" t="s">
        <v>2</v>
      </c>
      <c r="B31" s="73"/>
      <c r="C31" s="74"/>
      <c r="D31" s="74">
        <v>0</v>
      </c>
      <c r="E31" s="74"/>
      <c r="F31" s="74" t="s">
        <v>2</v>
      </c>
      <c r="G31" s="75"/>
      <c r="H31" s="76"/>
      <c r="I31" s="77"/>
      <c r="J31" t="s">
        <v>2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x14ac:dyDescent="0.2">
      <c r="A32" s="33" t="s">
        <v>2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" ht="14.25" x14ac:dyDescent="0.2">
      <c r="A33" s="9" t="s">
        <v>2</v>
      </c>
      <c r="B33" s="9"/>
    </row>
  </sheetData>
  <mergeCells count="7">
    <mergeCell ref="A2:I2"/>
    <mergeCell ref="A3:I3"/>
    <mergeCell ref="A5:A6"/>
    <mergeCell ref="B5:B6"/>
    <mergeCell ref="C5:D5"/>
    <mergeCell ref="E5:F5"/>
    <mergeCell ref="G5:H5"/>
  </mergeCells>
  <phoneticPr fontId="4" type="noConversion"/>
  <pageMargins left="1.2598425196850394" right="0.78740157480314965" top="0.39370078740157483" bottom="0.39370078740157483" header="0.51181102362204722" footer="0.51181102362204722"/>
  <pageSetup scale="91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Func</vt:lpstr>
      <vt:lpstr>Inversión</vt:lpstr>
      <vt:lpstr>Ingresos</vt:lpstr>
      <vt:lpstr>Func!Área_de_impresión</vt:lpstr>
      <vt:lpstr>Ingresos!Área_de_impresión</vt:lpstr>
      <vt:lpstr>Inversión!Área_de_impresión</vt:lpstr>
      <vt:lpstr>Func!Títulos_a_imprimir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MAYRA CASTILLO</dc:creator>
  <cp:lastModifiedBy>JAIME YOUNG</cp:lastModifiedBy>
  <cp:lastPrinted>2019-12-16T15:48:25Z</cp:lastPrinted>
  <dcterms:created xsi:type="dcterms:W3CDTF">2010-01-07T20:52:23Z</dcterms:created>
  <dcterms:modified xsi:type="dcterms:W3CDTF">2020-01-10T14:07:57Z</dcterms:modified>
</cp:coreProperties>
</file>