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correa\Documents\WEB 2020\NUEVOS CUADROS ESTADÍSTICA\RECURSO HUMANO\RECURSO HUMANO\"/>
    </mc:Choice>
  </mc:AlternateContent>
  <bookViews>
    <workbookView xWindow="0" yWindow="0" windowWidth="24000" windowHeight="9600" tabRatio="469"/>
  </bookViews>
  <sheets>
    <sheet name="Recurso humano 1981-2019" sheetId="1" r:id="rId1"/>
  </sheets>
  <definedNames>
    <definedName name="A_impresión_IM_1">"$#REF!.$B$2:$AE$27"</definedName>
    <definedName name="A_impresión_IM_2">'Recurso humano 1981-2019'!$B$1:$AA$45</definedName>
    <definedName name="_xlnm.Print_Area" localSheetId="0">'Recurso humano 1981-2019'!$A$1:$AO$45</definedName>
    <definedName name="Excel_BuiltIn_Print_Area_1">"$#REF!.$B$1:$AF$26"</definedName>
    <definedName name="Excel_BuiltIn_Print_Area_2">'Recurso humano 1981-2019'!$B$1:$AA$45</definedName>
  </definedNames>
  <calcPr calcId="162913"/>
</workbook>
</file>

<file path=xl/calcChain.xml><?xml version="1.0" encoding="utf-8"?>
<calcChain xmlns="http://schemas.openxmlformats.org/spreadsheetml/2006/main">
  <c r="AO31" i="1" l="1"/>
  <c r="AO26" i="1"/>
  <c r="AO10" i="1"/>
  <c r="AM10" i="1"/>
  <c r="AO16" i="1" l="1"/>
  <c r="AO8" i="1" s="1"/>
  <c r="AO6" i="1" s="1"/>
  <c r="AN34" i="1"/>
  <c r="AN29" i="1"/>
  <c r="AN28" i="1"/>
  <c r="AN27" i="1"/>
  <c r="AN18" i="1"/>
  <c r="AN24" i="1"/>
  <c r="AN12" i="1"/>
  <c r="AN10" i="1"/>
  <c r="AM8" i="1"/>
  <c r="AL6" i="1" l="1"/>
  <c r="AM24" i="1"/>
  <c r="AN31" i="1"/>
  <c r="AN26" i="1"/>
  <c r="AN16" i="1" l="1"/>
  <c r="AN8" i="1" s="1"/>
  <c r="AN6" i="1" s="1"/>
  <c r="AM29" i="1"/>
  <c r="AM28" i="1"/>
  <c r="AM27" i="1"/>
  <c r="AM18" i="1"/>
  <c r="AM12" i="1"/>
  <c r="AM31" i="1"/>
  <c r="AM26" i="1"/>
  <c r="AM16" i="1" s="1"/>
  <c r="AM6" i="1" l="1"/>
  <c r="AL34" i="1"/>
  <c r="AL32" i="1"/>
  <c r="AL29" i="1"/>
  <c r="AL28" i="1"/>
  <c r="AL27" i="1"/>
  <c r="AL24" i="1"/>
  <c r="AL18" i="1"/>
  <c r="AL12" i="1"/>
  <c r="AK32" i="1"/>
  <c r="AK31" i="1" s="1"/>
  <c r="AK29" i="1"/>
  <c r="AK28" i="1"/>
  <c r="AK27" i="1"/>
  <c r="AK24" i="1"/>
  <c r="AK18" i="1"/>
  <c r="AK12" i="1"/>
  <c r="AJ24" i="1"/>
  <c r="AJ34" i="1"/>
  <c r="AJ32" i="1"/>
  <c r="AJ29" i="1"/>
  <c r="AJ28" i="1"/>
  <c r="AJ27" i="1"/>
  <c r="AJ26" i="1" s="1"/>
  <c r="AJ16" i="1" s="1"/>
  <c r="AJ18" i="1"/>
  <c r="AJ12" i="1"/>
  <c r="AJ10" i="1" s="1"/>
  <c r="AI34" i="1"/>
  <c r="AI32" i="1"/>
  <c r="AI31" i="1" s="1"/>
  <c r="AI29" i="1"/>
  <c r="AI28" i="1"/>
  <c r="AI27" i="1"/>
  <c r="AI24" i="1"/>
  <c r="AI18" i="1"/>
  <c r="AI12" i="1"/>
  <c r="AH34" i="1"/>
  <c r="AH32" i="1"/>
  <c r="AH31" i="1" s="1"/>
  <c r="AH29" i="1"/>
  <c r="AH28" i="1"/>
  <c r="AH26" i="1" s="1"/>
  <c r="AH27" i="1"/>
  <c r="AH24" i="1"/>
  <c r="AH18" i="1"/>
  <c r="AH13" i="1"/>
  <c r="AH10" i="1" s="1"/>
  <c r="AH12" i="1"/>
  <c r="AG31" i="1"/>
  <c r="AJ31" i="1"/>
  <c r="AG26" i="1"/>
  <c r="AI26" i="1"/>
  <c r="AK26" i="1"/>
  <c r="AL26" i="1"/>
  <c r="AG10" i="1"/>
  <c r="AI10" i="1"/>
  <c r="AK10" i="1"/>
  <c r="AL10" i="1"/>
  <c r="AG16" i="1"/>
  <c r="AG8" i="1" s="1"/>
  <c r="AG6" i="1" s="1"/>
  <c r="AE32" i="1"/>
  <c r="AE31" i="1" s="1"/>
  <c r="AE29" i="1"/>
  <c r="AE28" i="1"/>
  <c r="AE27" i="1"/>
  <c r="AE18" i="1"/>
  <c r="AE24" i="1"/>
  <c r="AE12" i="1"/>
  <c r="AE10" i="1" s="1"/>
  <c r="AF34" i="1"/>
  <c r="AF32" i="1"/>
  <c r="AF31" i="1" s="1"/>
  <c r="AF29" i="1"/>
  <c r="AF28" i="1"/>
  <c r="AF27" i="1"/>
  <c r="AF18" i="1"/>
  <c r="AF24" i="1"/>
  <c r="AF12" i="1"/>
  <c r="AF10" i="1" s="1"/>
  <c r="C10" i="1"/>
  <c r="C18" i="1"/>
  <c r="C26" i="1"/>
  <c r="C31" i="1"/>
  <c r="D10" i="1"/>
  <c r="D26" i="1"/>
  <c r="D16" i="1" s="1"/>
  <c r="D8" i="1" s="1"/>
  <c r="D6" i="1" s="1"/>
  <c r="D31" i="1"/>
  <c r="E10" i="1"/>
  <c r="E26" i="1"/>
  <c r="E31" i="1"/>
  <c r="F10" i="1"/>
  <c r="F26" i="1"/>
  <c r="F31" i="1"/>
  <c r="G10" i="1"/>
  <c r="G26" i="1"/>
  <c r="G31" i="1"/>
  <c r="G16" i="1" s="1"/>
  <c r="G8" i="1" s="1"/>
  <c r="G6" i="1" s="1"/>
  <c r="H10" i="1"/>
  <c r="H26" i="1"/>
  <c r="H31" i="1"/>
  <c r="I10" i="1"/>
  <c r="I26" i="1"/>
  <c r="I31" i="1"/>
  <c r="I16" i="1" s="1"/>
  <c r="I8" i="1" s="1"/>
  <c r="I6" i="1" s="1"/>
  <c r="J10" i="1"/>
  <c r="J26" i="1"/>
  <c r="J31" i="1"/>
  <c r="K10" i="1"/>
  <c r="K26" i="1"/>
  <c r="K31" i="1"/>
  <c r="L10" i="1"/>
  <c r="L26" i="1"/>
  <c r="L31" i="1"/>
  <c r="M10" i="1"/>
  <c r="M26" i="1"/>
  <c r="M31" i="1"/>
  <c r="N10" i="1"/>
  <c r="N26" i="1"/>
  <c r="N31" i="1"/>
  <c r="O10" i="1"/>
  <c r="O26" i="1"/>
  <c r="O31" i="1"/>
  <c r="P10" i="1"/>
  <c r="P26" i="1"/>
  <c r="P31" i="1"/>
  <c r="Q10" i="1"/>
  <c r="Q26" i="1"/>
  <c r="Q31" i="1"/>
  <c r="R10" i="1"/>
  <c r="R26" i="1"/>
  <c r="R31" i="1"/>
  <c r="S10" i="1"/>
  <c r="S26" i="1"/>
  <c r="S31" i="1"/>
  <c r="T10" i="1"/>
  <c r="T26" i="1"/>
  <c r="T31" i="1"/>
  <c r="U10" i="1"/>
  <c r="U26" i="1"/>
  <c r="U31" i="1"/>
  <c r="V10" i="1"/>
  <c r="V26" i="1"/>
  <c r="V31" i="1"/>
  <c r="W10" i="1"/>
  <c r="W26" i="1"/>
  <c r="W31" i="1"/>
  <c r="X10" i="1"/>
  <c r="X26" i="1"/>
  <c r="X31" i="1"/>
  <c r="Y10" i="1"/>
  <c r="Y26" i="1"/>
  <c r="Y31" i="1"/>
  <c r="Y16" i="1" s="1"/>
  <c r="Y8" i="1" s="1"/>
  <c r="Y6" i="1" s="1"/>
  <c r="Z10" i="1"/>
  <c r="Z26" i="1"/>
  <c r="Z31" i="1"/>
  <c r="AA10" i="1"/>
  <c r="AA26" i="1"/>
  <c r="AA31" i="1"/>
  <c r="AB12" i="1"/>
  <c r="AB10" i="1" s="1"/>
  <c r="AB18" i="1"/>
  <c r="AB24" i="1"/>
  <c r="AB27" i="1"/>
  <c r="AB28" i="1"/>
  <c r="AB29" i="1"/>
  <c r="AB32" i="1"/>
  <c r="AB31" i="1" s="1"/>
  <c r="AC12" i="1"/>
  <c r="AC10" i="1" s="1"/>
  <c r="AC13" i="1"/>
  <c r="AC14" i="1"/>
  <c r="AC18" i="1"/>
  <c r="AC24" i="1"/>
  <c r="AC27" i="1"/>
  <c r="AC28" i="1"/>
  <c r="AC29" i="1"/>
  <c r="AC32" i="1"/>
  <c r="AC31" i="1" s="1"/>
  <c r="AD12" i="1"/>
  <c r="AD10" i="1" s="1"/>
  <c r="AD18" i="1"/>
  <c r="AD27" i="1"/>
  <c r="AD28" i="1"/>
  <c r="AD29" i="1"/>
  <c r="AD32" i="1"/>
  <c r="AD31" i="1" s="1"/>
  <c r="AI16" i="1" l="1"/>
  <c r="AC26" i="1"/>
  <c r="U16" i="1"/>
  <c r="U8" i="1" s="1"/>
  <c r="U6" i="1" s="1"/>
  <c r="S16" i="1"/>
  <c r="S8" i="1" s="1"/>
  <c r="S6" i="1" s="1"/>
  <c r="AL31" i="1"/>
  <c r="AL16" i="1" s="1"/>
  <c r="AL8" i="1" s="1"/>
  <c r="AK16" i="1"/>
  <c r="AK8" i="1" s="1"/>
  <c r="AK6" i="1" s="1"/>
  <c r="AJ8" i="1"/>
  <c r="AJ6" i="1" s="1"/>
  <c r="AI8" i="1"/>
  <c r="AI6" i="1" s="1"/>
  <c r="AH16" i="1"/>
  <c r="AH8" i="1" s="1"/>
  <c r="AH6" i="1" s="1"/>
  <c r="Q16" i="1"/>
  <c r="Q8" i="1" s="1"/>
  <c r="Q6" i="1" s="1"/>
  <c r="O16" i="1"/>
  <c r="O8" i="1" s="1"/>
  <c r="O6" i="1" s="1"/>
  <c r="N16" i="1"/>
  <c r="N8" i="1" s="1"/>
  <c r="N6" i="1" s="1"/>
  <c r="L16" i="1"/>
  <c r="AC16" i="1"/>
  <c r="AC8" i="1" s="1"/>
  <c r="AC6" i="1" s="1"/>
  <c r="AB26" i="1"/>
  <c r="AB16" i="1" s="1"/>
  <c r="AA16" i="1"/>
  <c r="AA8" i="1" s="1"/>
  <c r="AA6" i="1" s="1"/>
  <c r="W16" i="1"/>
  <c r="W8" i="1" s="1"/>
  <c r="W6" i="1" s="1"/>
  <c r="V16" i="1"/>
  <c r="V8" i="1" s="1"/>
  <c r="V6" i="1" s="1"/>
  <c r="T16" i="1"/>
  <c r="M16" i="1"/>
  <c r="M8" i="1" s="1"/>
  <c r="M6" i="1" s="1"/>
  <c r="K16" i="1"/>
  <c r="K8" i="1" s="1"/>
  <c r="K6" i="1" s="1"/>
  <c r="E16" i="1"/>
  <c r="E8" i="1" s="1"/>
  <c r="E6" i="1" s="1"/>
  <c r="C16" i="1"/>
  <c r="AE26" i="1"/>
  <c r="AE16" i="1" s="1"/>
  <c r="AE8" i="1" s="1"/>
  <c r="AE6" i="1" s="1"/>
  <c r="F16" i="1"/>
  <c r="F8" i="1" s="1"/>
  <c r="F6" i="1" s="1"/>
  <c r="L8" i="1"/>
  <c r="L6" i="1" s="1"/>
  <c r="Z16" i="1"/>
  <c r="Z8" i="1" s="1"/>
  <c r="Z6" i="1" s="1"/>
  <c r="R16" i="1"/>
  <c r="R8" i="1" s="1"/>
  <c r="R6" i="1" s="1"/>
  <c r="J16" i="1"/>
  <c r="J8" i="1" s="1"/>
  <c r="J6" i="1" s="1"/>
  <c r="AF26" i="1"/>
  <c r="AF16" i="1" s="1"/>
  <c r="AF8" i="1" s="1"/>
  <c r="AF6" i="1" s="1"/>
  <c r="T8" i="1"/>
  <c r="T6" i="1" s="1"/>
  <c r="AD26" i="1"/>
  <c r="AD16" i="1" s="1"/>
  <c r="AD8" i="1" s="1"/>
  <c r="AD6" i="1" s="1"/>
  <c r="X16" i="1"/>
  <c r="X8" i="1" s="1"/>
  <c r="X6" i="1" s="1"/>
  <c r="P16" i="1"/>
  <c r="P8" i="1" s="1"/>
  <c r="P6" i="1" s="1"/>
  <c r="H16" i="1"/>
  <c r="H8" i="1" s="1"/>
  <c r="H6" i="1" s="1"/>
  <c r="C8" i="1"/>
  <c r="C6" i="1" s="1"/>
  <c r="AB8" i="1"/>
  <c r="AB6" i="1" s="1"/>
</calcChain>
</file>

<file path=xl/sharedStrings.xml><?xml version="1.0" encoding="utf-8"?>
<sst xmlns="http://schemas.openxmlformats.org/spreadsheetml/2006/main" count="30" uniqueCount="29">
  <si>
    <t>Sub-Total Regulares</t>
  </si>
  <si>
    <t xml:space="preserve">        Titulares</t>
  </si>
  <si>
    <t xml:space="preserve">        Agregados</t>
  </si>
  <si>
    <t xml:space="preserve">        Auxiliares</t>
  </si>
  <si>
    <t>Sub-Total No Regulares</t>
  </si>
  <si>
    <t xml:space="preserve">        Adjuntos</t>
  </si>
  <si>
    <t xml:space="preserve">        Adjuntos IV</t>
  </si>
  <si>
    <t xml:space="preserve">        Adjuntos III</t>
  </si>
  <si>
    <t xml:space="preserve">        Adjuntos II</t>
  </si>
  <si>
    <t xml:space="preserve">        Adjuntos I</t>
  </si>
  <si>
    <t xml:space="preserve">        Especiales</t>
  </si>
  <si>
    <t xml:space="preserve">        Instructores</t>
  </si>
  <si>
    <t xml:space="preserve">                A1</t>
  </si>
  <si>
    <t xml:space="preserve">                A2</t>
  </si>
  <si>
    <t xml:space="preserve">                A3</t>
  </si>
  <si>
    <t xml:space="preserve">                B1</t>
  </si>
  <si>
    <t xml:space="preserve">                B2</t>
  </si>
  <si>
    <t xml:space="preserve">                B3</t>
  </si>
  <si>
    <t>No especificados</t>
  </si>
  <si>
    <t>Ayudantes</t>
  </si>
  <si>
    <t>(1) No incluye ayudantes</t>
  </si>
  <si>
    <t>Fuente:  Dirección General de Recursos Humanos.</t>
  </si>
  <si>
    <t>Detalle</t>
  </si>
  <si>
    <t>Total</t>
  </si>
  <si>
    <t>Personal Docente (1)</t>
  </si>
  <si>
    <t>Personal Administrativo</t>
  </si>
  <si>
    <t>Personal de Investigación</t>
  </si>
  <si>
    <r>
      <t xml:space="preserve"> </t>
    </r>
    <r>
      <rPr>
        <b/>
        <sz val="10"/>
        <color indexed="8"/>
        <rFont val="Arial"/>
        <family val="2"/>
      </rPr>
      <t>AÑOS 1981-2019</t>
    </r>
  </si>
  <si>
    <t>UNIVERSIDAD TECNOLÓGICA DE PANAMÁ: RECURSO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</si>
</sst>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\ "/>
    <numFmt numFmtId="165" formatCode="#,###"/>
  </numFmts>
  <fonts count="10" x14ac:knownFonts="1">
    <font>
      <sz val="12"/>
      <name val="Courier New"/>
      <family val="3"/>
    </font>
    <font>
      <sz val="8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9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164" fontId="0" fillId="0" borderId="0"/>
  </cellStyleXfs>
  <cellXfs count="69">
    <xf numFmtId="164" fontId="0" fillId="0" borderId="0" xfId="0"/>
    <xf numFmtId="164" fontId="2" fillId="0" borderId="0" xfId="0" applyFont="1" applyFill="1"/>
    <xf numFmtId="164" fontId="4" fillId="0" borderId="0" xfId="0" applyFont="1"/>
    <xf numFmtId="164" fontId="3" fillId="0" borderId="0" xfId="0" applyFont="1" applyFill="1"/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2" xfId="0" applyFont="1" applyFill="1" applyBorder="1" applyAlignment="1" applyProtection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 applyProtection="1">
      <alignment horizontal="right" vertical="center"/>
    </xf>
    <xf numFmtId="165" fontId="8" fillId="0" borderId="0" xfId="0" applyNumberFormat="1" applyFont="1" applyFill="1" applyBorder="1" applyAlignment="1" applyProtection="1">
      <alignment horizontal="right" vertical="center"/>
    </xf>
    <xf numFmtId="164" fontId="3" fillId="0" borderId="1" xfId="0" applyFont="1" applyFill="1" applyBorder="1"/>
    <xf numFmtId="164" fontId="3" fillId="0" borderId="2" xfId="0" applyFont="1" applyFill="1" applyBorder="1"/>
    <xf numFmtId="164" fontId="2" fillId="0" borderId="2" xfId="0" applyFont="1" applyFill="1" applyBorder="1"/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4" fontId="3" fillId="0" borderId="1" xfId="0" applyFont="1" applyFill="1" applyBorder="1" applyAlignment="1" applyProtection="1">
      <alignment horizontal="left" vertical="center"/>
    </xf>
    <xf numFmtId="165" fontId="3" fillId="0" borderId="2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2" xfId="0" applyNumberFormat="1" applyFont="1" applyFill="1" applyBorder="1" applyAlignment="1" applyProtection="1">
      <alignment horizontal="left" vertical="center"/>
    </xf>
    <xf numFmtId="165" fontId="3" fillId="0" borderId="2" xfId="0" applyNumberFormat="1" applyFont="1" applyFill="1" applyBorder="1" applyAlignment="1" applyProtection="1">
      <alignment vertical="center"/>
    </xf>
    <xf numFmtId="164" fontId="2" fillId="0" borderId="1" xfId="0" applyFont="1" applyFill="1" applyBorder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4" fontId="3" fillId="0" borderId="1" xfId="0" applyFont="1" applyFill="1" applyBorder="1" applyAlignment="1" applyProtection="1"/>
    <xf numFmtId="165" fontId="3" fillId="0" borderId="2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right"/>
    </xf>
    <xf numFmtId="165" fontId="3" fillId="0" borderId="2" xfId="0" applyNumberFormat="1" applyFont="1" applyFill="1" applyBorder="1" applyProtection="1"/>
    <xf numFmtId="164" fontId="9" fillId="0" borderId="0" xfId="0" applyFont="1"/>
    <xf numFmtId="165" fontId="3" fillId="0" borderId="0" xfId="0" applyNumberFormat="1" applyFont="1" applyFill="1" applyBorder="1" applyProtection="1"/>
    <xf numFmtId="164" fontId="2" fillId="0" borderId="1" xfId="0" applyFont="1" applyFill="1" applyBorder="1" applyAlignment="1" applyProtection="1"/>
    <xf numFmtId="165" fontId="2" fillId="0" borderId="2" xfId="0" applyNumberFormat="1" applyFont="1" applyFill="1" applyBorder="1" applyAlignment="1" applyProtection="1"/>
    <xf numFmtId="165" fontId="2" fillId="0" borderId="2" xfId="0" applyNumberFormat="1" applyFont="1" applyFill="1" applyBorder="1" applyAlignment="1" applyProtection="1">
      <alignment horizontal="right"/>
    </xf>
    <xf numFmtId="165" fontId="2" fillId="0" borderId="2" xfId="0" applyNumberFormat="1" applyFont="1" applyFill="1" applyBorder="1" applyProtection="1"/>
    <xf numFmtId="164" fontId="2" fillId="0" borderId="0" xfId="0" applyFont="1" applyFill="1" applyAlignment="1">
      <alignment vertical="center"/>
    </xf>
    <xf numFmtId="164" fontId="3" fillId="0" borderId="1" xfId="0" applyFont="1" applyFill="1" applyBorder="1" applyAlignment="1" applyProtection="1">
      <alignment vertical="center"/>
    </xf>
    <xf numFmtId="165" fontId="3" fillId="0" borderId="2" xfId="0" applyNumberFormat="1" applyFont="1" applyFill="1" applyBorder="1" applyAlignment="1">
      <alignment vertical="center"/>
    </xf>
    <xf numFmtId="164" fontId="2" fillId="0" borderId="2" xfId="0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164" fontId="9" fillId="0" borderId="0" xfId="0" applyFont="1" applyAlignment="1">
      <alignment vertical="center"/>
    </xf>
    <xf numFmtId="164" fontId="2" fillId="0" borderId="0" xfId="0" applyFont="1" applyFill="1" applyBorder="1"/>
    <xf numFmtId="164" fontId="2" fillId="0" borderId="6" xfId="0" applyFont="1" applyFill="1" applyBorder="1" applyAlignment="1" applyProtection="1"/>
    <xf numFmtId="165" fontId="2" fillId="0" borderId="7" xfId="0" applyNumberFormat="1" applyFont="1" applyFill="1" applyBorder="1" applyAlignment="1" applyProtection="1"/>
    <xf numFmtId="165" fontId="2" fillId="0" borderId="7" xfId="0" applyNumberFormat="1" applyFont="1" applyFill="1" applyBorder="1" applyAlignment="1" applyProtection="1">
      <alignment horizontal="right"/>
    </xf>
    <xf numFmtId="165" fontId="2" fillId="0" borderId="7" xfId="0" applyNumberFormat="1" applyFont="1" applyFill="1" applyBorder="1" applyProtection="1"/>
    <xf numFmtId="165" fontId="2" fillId="0" borderId="7" xfId="0" applyNumberFormat="1" applyFont="1" applyFill="1" applyBorder="1"/>
    <xf numFmtId="164" fontId="2" fillId="0" borderId="7" xfId="0" applyFont="1" applyFill="1" applyBorder="1"/>
    <xf numFmtId="164" fontId="2" fillId="0" borderId="8" xfId="0" applyFont="1" applyFill="1" applyBorder="1"/>
    <xf numFmtId="164" fontId="4" fillId="0" borderId="0" xfId="0" applyFont="1" applyBorder="1"/>
    <xf numFmtId="164" fontId="2" fillId="0" borderId="0" xfId="0" applyFont="1" applyFill="1" applyBorder="1" applyAlignment="1" applyProtection="1"/>
    <xf numFmtId="164" fontId="4" fillId="0" borderId="0" xfId="0" applyFont="1" applyAlignment="1">
      <alignment horizont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 applyProtection="1">
      <alignment horizontal="center" vertical="center"/>
    </xf>
    <xf numFmtId="164" fontId="5" fillId="2" borderId="5" xfId="0" applyFont="1" applyFill="1" applyBorder="1" applyAlignment="1" applyProtection="1">
      <alignment horizontal="center" vertical="center"/>
    </xf>
    <xf numFmtId="164" fontId="3" fillId="3" borderId="1" xfId="0" applyFont="1" applyFill="1" applyBorder="1" applyAlignment="1" applyProtection="1">
      <alignment horizontal="left" vertical="center"/>
    </xf>
    <xf numFmtId="165" fontId="3" fillId="3" borderId="2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165" fontId="3" fillId="3" borderId="2" xfId="0" applyNumberFormat="1" applyFont="1" applyFill="1" applyBorder="1" applyAlignment="1" applyProtection="1">
      <alignment vertical="center"/>
    </xf>
    <xf numFmtId="165" fontId="3" fillId="3" borderId="2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164" fontId="5" fillId="2" borderId="0" xfId="0" applyFont="1" applyFill="1" applyBorder="1" applyAlignment="1" applyProtection="1">
      <alignment horizontal="center" vertical="center"/>
    </xf>
    <xf numFmtId="164" fontId="5" fillId="2" borderId="9" xfId="0" applyFont="1" applyFill="1" applyBorder="1" applyAlignment="1" applyProtection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5" fillId="2" borderId="10" xfId="0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8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showGridLines="0" showZero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16" sqref="T16"/>
    </sheetView>
  </sheetViews>
  <sheetFormatPr baseColWidth="10" defaultColWidth="7.796875" defaultRowHeight="13.5" x14ac:dyDescent="0.25"/>
  <cols>
    <col min="1" max="1" width="1.796875" style="1" customWidth="1"/>
    <col min="2" max="2" width="30.5" style="1" bestFit="1" customWidth="1"/>
    <col min="3" max="41" width="4.69921875" style="1" customWidth="1"/>
    <col min="42" max="256" width="7.796875" style="1" customWidth="1"/>
    <col min="257" max="16384" width="7.796875" style="2"/>
  </cols>
  <sheetData>
    <row r="1" spans="2:257" x14ac:dyDescent="0.25">
      <c r="B1" s="67" t="s">
        <v>28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2:257" x14ac:dyDescent="0.25">
      <c r="B2" s="68" t="s">
        <v>27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2:25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257" s="4" customFormat="1" ht="30.75" customHeight="1" x14ac:dyDescent="0.25">
      <c r="B4" s="53" t="s">
        <v>22</v>
      </c>
      <c r="C4" s="54">
        <v>1981</v>
      </c>
      <c r="D4" s="54">
        <v>1982</v>
      </c>
      <c r="E4" s="54">
        <v>1983</v>
      </c>
      <c r="F4" s="54">
        <v>1984</v>
      </c>
      <c r="G4" s="54">
        <v>1985</v>
      </c>
      <c r="H4" s="54">
        <v>1986</v>
      </c>
      <c r="I4" s="54">
        <v>1987</v>
      </c>
      <c r="J4" s="54">
        <v>1988</v>
      </c>
      <c r="K4" s="54">
        <v>1989</v>
      </c>
      <c r="L4" s="54">
        <v>1990</v>
      </c>
      <c r="M4" s="54">
        <v>1991</v>
      </c>
      <c r="N4" s="54">
        <v>1992</v>
      </c>
      <c r="O4" s="54">
        <v>1993</v>
      </c>
      <c r="P4" s="54">
        <v>1994</v>
      </c>
      <c r="Q4" s="54">
        <v>1995</v>
      </c>
      <c r="R4" s="54">
        <v>1996</v>
      </c>
      <c r="S4" s="54">
        <v>1997</v>
      </c>
      <c r="T4" s="54">
        <v>1998</v>
      </c>
      <c r="U4" s="54">
        <v>1999</v>
      </c>
      <c r="V4" s="54">
        <v>2000</v>
      </c>
      <c r="W4" s="54">
        <v>2001</v>
      </c>
      <c r="X4" s="54">
        <v>2002</v>
      </c>
      <c r="Y4" s="54">
        <v>2003</v>
      </c>
      <c r="Z4" s="54">
        <v>2004</v>
      </c>
      <c r="AA4" s="55">
        <v>2005</v>
      </c>
      <c r="AB4" s="55">
        <v>2006</v>
      </c>
      <c r="AC4" s="55">
        <v>2007</v>
      </c>
      <c r="AD4" s="55">
        <v>2008</v>
      </c>
      <c r="AE4" s="55">
        <v>2009</v>
      </c>
      <c r="AF4" s="55">
        <v>2010</v>
      </c>
      <c r="AG4" s="55">
        <v>2011</v>
      </c>
      <c r="AH4" s="55">
        <v>2012</v>
      </c>
      <c r="AI4" s="55">
        <v>2013</v>
      </c>
      <c r="AJ4" s="55">
        <v>2014</v>
      </c>
      <c r="AK4" s="55">
        <v>2015</v>
      </c>
      <c r="AL4" s="63">
        <v>2016</v>
      </c>
      <c r="AM4" s="62">
        <v>2017</v>
      </c>
      <c r="AN4" s="65">
        <v>2018</v>
      </c>
      <c r="AO4" s="65">
        <v>2019</v>
      </c>
      <c r="AQ4" s="5"/>
      <c r="AR4" s="5"/>
      <c r="IW4" s="52"/>
    </row>
    <row r="5" spans="2:257" s="4" customFormat="1" ht="12.95" customHeight="1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  <c r="AJ5" s="8"/>
      <c r="AK5" s="8"/>
      <c r="AL5" s="8"/>
      <c r="AM5" s="8"/>
      <c r="AN5" s="8"/>
      <c r="AP5" s="5"/>
      <c r="AQ5" s="5"/>
      <c r="AR5" s="5"/>
      <c r="IW5" s="2"/>
    </row>
    <row r="6" spans="2:257" s="9" customFormat="1" ht="25.15" customHeight="1" x14ac:dyDescent="0.25">
      <c r="B6" s="10" t="s">
        <v>23</v>
      </c>
      <c r="C6" s="11">
        <f t="shared" ref="C6:AD6" si="0">C8+C40+C42</f>
        <v>698</v>
      </c>
      <c r="D6" s="11">
        <f t="shared" si="0"/>
        <v>710</v>
      </c>
      <c r="E6" s="11">
        <f t="shared" si="0"/>
        <v>1085</v>
      </c>
      <c r="F6" s="11">
        <f t="shared" si="0"/>
        <v>1367</v>
      </c>
      <c r="G6" s="11">
        <f t="shared" si="0"/>
        <v>1436</v>
      </c>
      <c r="H6" s="11">
        <f t="shared" si="0"/>
        <v>1515</v>
      </c>
      <c r="I6" s="11">
        <f t="shared" si="0"/>
        <v>1558</v>
      </c>
      <c r="J6" s="11">
        <f t="shared" si="0"/>
        <v>1628</v>
      </c>
      <c r="K6" s="11">
        <f t="shared" si="0"/>
        <v>1656</v>
      </c>
      <c r="L6" s="11">
        <f t="shared" si="0"/>
        <v>1563</v>
      </c>
      <c r="M6" s="11">
        <f t="shared" si="0"/>
        <v>1596</v>
      </c>
      <c r="N6" s="11">
        <f t="shared" si="0"/>
        <v>1711</v>
      </c>
      <c r="O6" s="11">
        <f t="shared" si="0"/>
        <v>1947</v>
      </c>
      <c r="P6" s="11">
        <f t="shared" si="0"/>
        <v>1945</v>
      </c>
      <c r="Q6" s="11">
        <f t="shared" si="0"/>
        <v>2109</v>
      </c>
      <c r="R6" s="11">
        <f t="shared" si="0"/>
        <v>2198</v>
      </c>
      <c r="S6" s="11">
        <f t="shared" si="0"/>
        <v>2377</v>
      </c>
      <c r="T6" s="11">
        <f t="shared" si="0"/>
        <v>2410</v>
      </c>
      <c r="U6" s="11">
        <f t="shared" si="0"/>
        <v>2471</v>
      </c>
      <c r="V6" s="11">
        <f t="shared" si="0"/>
        <v>2492</v>
      </c>
      <c r="W6" s="11">
        <f t="shared" si="0"/>
        <v>2439</v>
      </c>
      <c r="X6" s="11">
        <f t="shared" si="0"/>
        <v>2480</v>
      </c>
      <c r="Y6" s="11">
        <f t="shared" si="0"/>
        <v>2530</v>
      </c>
      <c r="Z6" s="11">
        <f t="shared" si="0"/>
        <v>2477</v>
      </c>
      <c r="AA6" s="11">
        <f t="shared" si="0"/>
        <v>2441</v>
      </c>
      <c r="AB6" s="11">
        <f t="shared" si="0"/>
        <v>2547</v>
      </c>
      <c r="AC6" s="11">
        <f t="shared" si="0"/>
        <v>2549</v>
      </c>
      <c r="AD6" s="11">
        <f t="shared" si="0"/>
        <v>2793</v>
      </c>
      <c r="AE6" s="11">
        <f t="shared" ref="AE6:AK6" si="1">AE8+AE40+AE42</f>
        <v>2992</v>
      </c>
      <c r="AF6" s="11">
        <f t="shared" si="1"/>
        <v>3118</v>
      </c>
      <c r="AG6" s="11">
        <f t="shared" si="1"/>
        <v>3352</v>
      </c>
      <c r="AH6" s="11">
        <f t="shared" si="1"/>
        <v>3630</v>
      </c>
      <c r="AI6" s="11">
        <f t="shared" si="1"/>
        <v>3510</v>
      </c>
      <c r="AJ6" s="11">
        <f t="shared" si="1"/>
        <v>3505</v>
      </c>
      <c r="AK6" s="11">
        <f t="shared" si="1"/>
        <v>3549</v>
      </c>
      <c r="AL6" s="11">
        <f>AL8+AL40+AL42</f>
        <v>3703</v>
      </c>
      <c r="AM6" s="11">
        <f t="shared" ref="AM6:AN6" si="2">AM8+AM40+AM42</f>
        <v>3769</v>
      </c>
      <c r="AN6" s="11">
        <f t="shared" si="2"/>
        <v>3837</v>
      </c>
      <c r="AO6" s="12">
        <f t="shared" ref="AO6" si="3">AO8+AO40+AO42</f>
        <v>3845</v>
      </c>
      <c r="AQ6" s="64"/>
      <c r="AR6" s="64"/>
      <c r="IW6" s="2"/>
    </row>
    <row r="7" spans="2:257" ht="12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</row>
    <row r="8" spans="2:257" ht="27.75" customHeight="1" x14ac:dyDescent="0.25">
      <c r="B8" s="56" t="s">
        <v>24</v>
      </c>
      <c r="C8" s="57">
        <f t="shared" ref="C8:AD8" si="4">C10+C16</f>
        <v>312</v>
      </c>
      <c r="D8" s="57">
        <f t="shared" si="4"/>
        <v>288</v>
      </c>
      <c r="E8" s="57">
        <f t="shared" si="4"/>
        <v>636</v>
      </c>
      <c r="F8" s="57">
        <f t="shared" si="4"/>
        <v>730</v>
      </c>
      <c r="G8" s="57">
        <f t="shared" si="4"/>
        <v>773</v>
      </c>
      <c r="H8" s="57">
        <f t="shared" si="4"/>
        <v>819</v>
      </c>
      <c r="I8" s="57">
        <f t="shared" si="4"/>
        <v>870</v>
      </c>
      <c r="J8" s="57">
        <f t="shared" si="4"/>
        <v>955</v>
      </c>
      <c r="K8" s="57">
        <f t="shared" si="4"/>
        <v>996</v>
      </c>
      <c r="L8" s="57">
        <f t="shared" si="4"/>
        <v>908</v>
      </c>
      <c r="M8" s="57">
        <f t="shared" si="4"/>
        <v>941</v>
      </c>
      <c r="N8" s="57">
        <f t="shared" si="4"/>
        <v>946</v>
      </c>
      <c r="O8" s="57">
        <f t="shared" si="4"/>
        <v>1086</v>
      </c>
      <c r="P8" s="57">
        <f t="shared" si="4"/>
        <v>1140</v>
      </c>
      <c r="Q8" s="57">
        <f t="shared" si="4"/>
        <v>1162</v>
      </c>
      <c r="R8" s="57">
        <f t="shared" si="4"/>
        <v>1095</v>
      </c>
      <c r="S8" s="57">
        <f t="shared" si="4"/>
        <v>1242</v>
      </c>
      <c r="T8" s="57">
        <f t="shared" si="4"/>
        <v>1159</v>
      </c>
      <c r="U8" s="57">
        <f t="shared" si="4"/>
        <v>1121</v>
      </c>
      <c r="V8" s="57">
        <f t="shared" si="4"/>
        <v>1173</v>
      </c>
      <c r="W8" s="57">
        <f t="shared" si="4"/>
        <v>1170</v>
      </c>
      <c r="X8" s="57">
        <f t="shared" si="4"/>
        <v>1234</v>
      </c>
      <c r="Y8" s="57">
        <f t="shared" si="4"/>
        <v>1269</v>
      </c>
      <c r="Z8" s="57">
        <f t="shared" si="4"/>
        <v>1199</v>
      </c>
      <c r="AA8" s="57">
        <f t="shared" si="4"/>
        <v>1148</v>
      </c>
      <c r="AB8" s="57">
        <f t="shared" si="4"/>
        <v>1217</v>
      </c>
      <c r="AC8" s="57">
        <f t="shared" si="4"/>
        <v>1225</v>
      </c>
      <c r="AD8" s="57">
        <f t="shared" si="4"/>
        <v>1324</v>
      </c>
      <c r="AE8" s="57">
        <f t="shared" ref="AE8:AL8" si="5">AE10+AE16</f>
        <v>1401</v>
      </c>
      <c r="AF8" s="57">
        <f t="shared" si="5"/>
        <v>1428</v>
      </c>
      <c r="AG8" s="57">
        <f t="shared" si="5"/>
        <v>1529</v>
      </c>
      <c r="AH8" s="57">
        <f t="shared" si="5"/>
        <v>1575</v>
      </c>
      <c r="AI8" s="57">
        <f t="shared" si="5"/>
        <v>1547</v>
      </c>
      <c r="AJ8" s="57">
        <f t="shared" si="5"/>
        <v>1549</v>
      </c>
      <c r="AK8" s="57">
        <f t="shared" si="5"/>
        <v>1552</v>
      </c>
      <c r="AL8" s="57">
        <f t="shared" si="5"/>
        <v>1623</v>
      </c>
      <c r="AM8" s="57">
        <f>AM10+AM16</f>
        <v>1632</v>
      </c>
      <c r="AN8" s="57">
        <f t="shared" ref="AN8:AO8" si="6">AN10+AN16</f>
        <v>1685</v>
      </c>
      <c r="AO8" s="58">
        <f t="shared" si="6"/>
        <v>1676</v>
      </c>
    </row>
    <row r="9" spans="2:257" ht="12.95" customHeight="1" x14ac:dyDescent="0.25">
      <c r="B9" s="13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5"/>
      <c r="AH9" s="15"/>
      <c r="AI9" s="15"/>
      <c r="AJ9" s="15"/>
      <c r="AK9" s="15"/>
      <c r="AL9" s="15"/>
      <c r="AM9" s="15"/>
      <c r="AN9" s="15"/>
    </row>
    <row r="10" spans="2:257" ht="15.95" customHeight="1" x14ac:dyDescent="0.25">
      <c r="B10" s="18" t="s">
        <v>0</v>
      </c>
      <c r="C10" s="19">
        <f t="shared" ref="C10:AD10" si="7">SUM(C12:C14)</f>
        <v>13</v>
      </c>
      <c r="D10" s="19">
        <f t="shared" si="7"/>
        <v>28</v>
      </c>
      <c r="E10" s="19">
        <f t="shared" si="7"/>
        <v>41</v>
      </c>
      <c r="F10" s="19">
        <f t="shared" si="7"/>
        <v>67</v>
      </c>
      <c r="G10" s="19">
        <f t="shared" si="7"/>
        <v>52</v>
      </c>
      <c r="H10" s="19">
        <f t="shared" si="7"/>
        <v>62</v>
      </c>
      <c r="I10" s="19">
        <f t="shared" si="7"/>
        <v>69</v>
      </c>
      <c r="J10" s="19">
        <f t="shared" si="7"/>
        <v>85</v>
      </c>
      <c r="K10" s="19">
        <f t="shared" si="7"/>
        <v>78</v>
      </c>
      <c r="L10" s="19">
        <f t="shared" si="7"/>
        <v>83</v>
      </c>
      <c r="M10" s="19">
        <f t="shared" si="7"/>
        <v>75</v>
      </c>
      <c r="N10" s="19">
        <f t="shared" si="7"/>
        <v>90</v>
      </c>
      <c r="O10" s="19">
        <f t="shared" si="7"/>
        <v>107</v>
      </c>
      <c r="P10" s="19">
        <f t="shared" si="7"/>
        <v>127</v>
      </c>
      <c r="Q10" s="19">
        <f t="shared" si="7"/>
        <v>145</v>
      </c>
      <c r="R10" s="19">
        <f t="shared" si="7"/>
        <v>156</v>
      </c>
      <c r="S10" s="19">
        <f t="shared" si="7"/>
        <v>198</v>
      </c>
      <c r="T10" s="19">
        <f t="shared" si="7"/>
        <v>180</v>
      </c>
      <c r="U10" s="19">
        <f t="shared" si="7"/>
        <v>170</v>
      </c>
      <c r="V10" s="19">
        <f t="shared" si="7"/>
        <v>166</v>
      </c>
      <c r="W10" s="19">
        <f t="shared" si="7"/>
        <v>170</v>
      </c>
      <c r="X10" s="19">
        <f t="shared" si="7"/>
        <v>167</v>
      </c>
      <c r="Y10" s="19">
        <f t="shared" si="7"/>
        <v>165</v>
      </c>
      <c r="Z10" s="19">
        <f t="shared" si="7"/>
        <v>172</v>
      </c>
      <c r="AA10" s="19">
        <f t="shared" si="7"/>
        <v>173</v>
      </c>
      <c r="AB10" s="19">
        <f t="shared" si="7"/>
        <v>174</v>
      </c>
      <c r="AC10" s="19">
        <f t="shared" si="7"/>
        <v>175</v>
      </c>
      <c r="AD10" s="19">
        <f t="shared" si="7"/>
        <v>178</v>
      </c>
      <c r="AE10" s="19">
        <f t="shared" ref="AE10:AL10" si="8">SUM(AE12:AE14)</f>
        <v>183</v>
      </c>
      <c r="AF10" s="19">
        <f t="shared" si="8"/>
        <v>178</v>
      </c>
      <c r="AG10" s="19">
        <f t="shared" si="8"/>
        <v>191</v>
      </c>
      <c r="AH10" s="19">
        <f t="shared" si="8"/>
        <v>190</v>
      </c>
      <c r="AI10" s="19">
        <f t="shared" si="8"/>
        <v>197</v>
      </c>
      <c r="AJ10" s="19">
        <f t="shared" si="8"/>
        <v>201</v>
      </c>
      <c r="AK10" s="19">
        <f t="shared" si="8"/>
        <v>199</v>
      </c>
      <c r="AL10" s="19">
        <f t="shared" si="8"/>
        <v>207</v>
      </c>
      <c r="AM10" s="19">
        <f>SUM(AM12:AM14)</f>
        <v>206</v>
      </c>
      <c r="AN10" s="19">
        <f>SUM(AN12:AN14)</f>
        <v>219</v>
      </c>
      <c r="AO10" s="20">
        <f>SUM(AO12:AO14)</f>
        <v>221</v>
      </c>
    </row>
    <row r="11" spans="2:257" ht="15.95" customHeight="1" x14ac:dyDescent="0.25">
      <c r="B11" s="18"/>
      <c r="C11" s="19"/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/>
      <c r="S11" s="19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/>
      <c r="AH11" s="15"/>
      <c r="AI11" s="15"/>
      <c r="AJ11" s="15"/>
      <c r="AK11" s="15"/>
      <c r="AL11" s="15"/>
      <c r="AM11" s="15"/>
      <c r="AN11" s="15"/>
    </row>
    <row r="12" spans="2:257" ht="15.95" customHeight="1" x14ac:dyDescent="0.25">
      <c r="B12" s="23" t="s">
        <v>1</v>
      </c>
      <c r="C12" s="24">
        <v>11</v>
      </c>
      <c r="D12" s="24">
        <v>15</v>
      </c>
      <c r="E12" s="24">
        <v>20</v>
      </c>
      <c r="F12" s="24">
        <v>26</v>
      </c>
      <c r="G12" s="24">
        <v>30</v>
      </c>
      <c r="H12" s="24">
        <v>31</v>
      </c>
      <c r="I12" s="24">
        <v>34</v>
      </c>
      <c r="J12" s="24">
        <v>41</v>
      </c>
      <c r="K12" s="24">
        <v>37</v>
      </c>
      <c r="L12" s="24">
        <v>39</v>
      </c>
      <c r="M12" s="24">
        <v>32</v>
      </c>
      <c r="N12" s="24">
        <v>48</v>
      </c>
      <c r="O12" s="24">
        <v>59</v>
      </c>
      <c r="P12" s="24">
        <v>74</v>
      </c>
      <c r="Q12" s="24">
        <v>81</v>
      </c>
      <c r="R12" s="25">
        <v>103</v>
      </c>
      <c r="S12" s="25">
        <v>160</v>
      </c>
      <c r="T12" s="24">
        <v>147</v>
      </c>
      <c r="U12" s="24">
        <v>144</v>
      </c>
      <c r="V12" s="24">
        <v>148</v>
      </c>
      <c r="W12" s="24">
        <v>151</v>
      </c>
      <c r="X12" s="24">
        <v>153</v>
      </c>
      <c r="Y12" s="24">
        <v>153</v>
      </c>
      <c r="Z12" s="24">
        <v>158</v>
      </c>
      <c r="AA12" s="24">
        <v>163</v>
      </c>
      <c r="AB12" s="24">
        <f>44+121</f>
        <v>165</v>
      </c>
      <c r="AC12" s="24">
        <f>122+43</f>
        <v>165</v>
      </c>
      <c r="AD12" s="24">
        <f>46+124</f>
        <v>170</v>
      </c>
      <c r="AE12" s="24">
        <f>49+128</f>
        <v>177</v>
      </c>
      <c r="AF12" s="24">
        <f>128+46</f>
        <v>174</v>
      </c>
      <c r="AG12" s="15">
        <v>186</v>
      </c>
      <c r="AH12" s="15">
        <f>136+50</f>
        <v>186</v>
      </c>
      <c r="AI12" s="15">
        <f>139+55</f>
        <v>194</v>
      </c>
      <c r="AJ12" s="15">
        <f>145+54</f>
        <v>199</v>
      </c>
      <c r="AK12" s="15">
        <f>141+55</f>
        <v>196</v>
      </c>
      <c r="AL12" s="15">
        <f>149+55</f>
        <v>204</v>
      </c>
      <c r="AM12" s="15">
        <f>148+57</f>
        <v>205</v>
      </c>
      <c r="AN12" s="15">
        <f>150+66</f>
        <v>216</v>
      </c>
      <c r="AO12" s="1">
        <v>217</v>
      </c>
    </row>
    <row r="13" spans="2:257" ht="15.95" customHeight="1" x14ac:dyDescent="0.25">
      <c r="B13" s="23" t="s">
        <v>2</v>
      </c>
      <c r="C13" s="24">
        <v>2</v>
      </c>
      <c r="D13" s="24">
        <v>12</v>
      </c>
      <c r="E13" s="24">
        <v>16</v>
      </c>
      <c r="F13" s="24">
        <v>32</v>
      </c>
      <c r="G13" s="24">
        <v>13</v>
      </c>
      <c r="H13" s="24">
        <v>21</v>
      </c>
      <c r="I13" s="24">
        <v>25</v>
      </c>
      <c r="J13" s="24">
        <v>28</v>
      </c>
      <c r="K13" s="24">
        <v>26</v>
      </c>
      <c r="L13" s="24">
        <v>28</v>
      </c>
      <c r="M13" s="24">
        <v>27</v>
      </c>
      <c r="N13" s="24">
        <v>26</v>
      </c>
      <c r="O13" s="24">
        <v>33</v>
      </c>
      <c r="P13" s="24">
        <v>42</v>
      </c>
      <c r="Q13" s="24">
        <v>54</v>
      </c>
      <c r="R13" s="25">
        <v>43</v>
      </c>
      <c r="S13" s="25">
        <v>34</v>
      </c>
      <c r="T13" s="24">
        <v>27</v>
      </c>
      <c r="U13" s="24">
        <v>23</v>
      </c>
      <c r="V13" s="24">
        <v>15</v>
      </c>
      <c r="W13" s="24">
        <v>16</v>
      </c>
      <c r="X13" s="24">
        <v>13</v>
      </c>
      <c r="Y13" s="24">
        <v>11</v>
      </c>
      <c r="Z13" s="24">
        <v>12</v>
      </c>
      <c r="AA13" s="24">
        <v>8</v>
      </c>
      <c r="AB13" s="24">
        <v>7</v>
      </c>
      <c r="AC13" s="24">
        <f>7+1</f>
        <v>8</v>
      </c>
      <c r="AD13" s="24">
        <v>8</v>
      </c>
      <c r="AE13" s="24">
        <v>6</v>
      </c>
      <c r="AF13" s="24">
        <v>4</v>
      </c>
      <c r="AG13" s="15">
        <v>5</v>
      </c>
      <c r="AH13" s="15">
        <f>3+1</f>
        <v>4</v>
      </c>
      <c r="AI13" s="15">
        <v>3</v>
      </c>
      <c r="AJ13" s="15">
        <v>2</v>
      </c>
      <c r="AK13" s="15">
        <v>3</v>
      </c>
      <c r="AL13" s="15">
        <v>3</v>
      </c>
      <c r="AM13" s="15">
        <v>1</v>
      </c>
      <c r="AN13" s="15">
        <v>2</v>
      </c>
      <c r="AO13" s="1">
        <v>3</v>
      </c>
    </row>
    <row r="14" spans="2:257" ht="15.95" customHeight="1" x14ac:dyDescent="0.25">
      <c r="B14" s="23" t="s">
        <v>3</v>
      </c>
      <c r="C14" s="24"/>
      <c r="D14" s="24">
        <v>1</v>
      </c>
      <c r="E14" s="24">
        <v>5</v>
      </c>
      <c r="F14" s="24">
        <v>9</v>
      </c>
      <c r="G14" s="24">
        <v>9</v>
      </c>
      <c r="H14" s="24">
        <v>10</v>
      </c>
      <c r="I14" s="24">
        <v>10</v>
      </c>
      <c r="J14" s="24">
        <v>16</v>
      </c>
      <c r="K14" s="24">
        <v>15</v>
      </c>
      <c r="L14" s="24">
        <v>16</v>
      </c>
      <c r="M14" s="24">
        <v>16</v>
      </c>
      <c r="N14" s="24">
        <v>16</v>
      </c>
      <c r="O14" s="24">
        <v>15</v>
      </c>
      <c r="P14" s="24">
        <v>11</v>
      </c>
      <c r="Q14" s="24">
        <v>10</v>
      </c>
      <c r="R14" s="25">
        <v>10</v>
      </c>
      <c r="S14" s="25">
        <v>4</v>
      </c>
      <c r="T14" s="24">
        <v>6</v>
      </c>
      <c r="U14" s="24">
        <v>3</v>
      </c>
      <c r="V14" s="24">
        <v>3</v>
      </c>
      <c r="W14" s="24">
        <v>3</v>
      </c>
      <c r="X14" s="24">
        <v>1</v>
      </c>
      <c r="Y14" s="24">
        <v>1</v>
      </c>
      <c r="Z14" s="24">
        <v>2</v>
      </c>
      <c r="AA14" s="24">
        <v>2</v>
      </c>
      <c r="AB14" s="24">
        <v>2</v>
      </c>
      <c r="AC14" s="24">
        <f>1+1</f>
        <v>2</v>
      </c>
      <c r="AD14" s="24"/>
      <c r="AE14" s="24"/>
      <c r="AF14" s="24"/>
      <c r="AG14" s="15"/>
      <c r="AH14" s="15"/>
      <c r="AI14" s="15"/>
      <c r="AJ14" s="15"/>
      <c r="AK14" s="15"/>
      <c r="AL14" s="15"/>
      <c r="AM14" s="15"/>
      <c r="AN14" s="15">
        <v>1</v>
      </c>
      <c r="AO14" s="1">
        <v>1</v>
      </c>
    </row>
    <row r="15" spans="2:257" ht="15.95" customHeight="1" x14ac:dyDescent="0.25"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2:257" ht="15.95" customHeight="1" x14ac:dyDescent="0.25">
      <c r="B16" s="18" t="s">
        <v>4</v>
      </c>
      <c r="C16" s="19">
        <f t="shared" ref="C16:AC16" si="9">SUM(C18:C22)+C24+C26+C31+C36</f>
        <v>299</v>
      </c>
      <c r="D16" s="19">
        <f t="shared" si="9"/>
        <v>260</v>
      </c>
      <c r="E16" s="19">
        <f t="shared" si="9"/>
        <v>595</v>
      </c>
      <c r="F16" s="19">
        <f t="shared" si="9"/>
        <v>663</v>
      </c>
      <c r="G16" s="19">
        <f t="shared" si="9"/>
        <v>721</v>
      </c>
      <c r="H16" s="19">
        <f t="shared" si="9"/>
        <v>757</v>
      </c>
      <c r="I16" s="19">
        <f t="shared" si="9"/>
        <v>801</v>
      </c>
      <c r="J16" s="19">
        <f t="shared" si="9"/>
        <v>870</v>
      </c>
      <c r="K16" s="19">
        <f t="shared" si="9"/>
        <v>918</v>
      </c>
      <c r="L16" s="19">
        <f t="shared" si="9"/>
        <v>825</v>
      </c>
      <c r="M16" s="19">
        <f t="shared" si="9"/>
        <v>866</v>
      </c>
      <c r="N16" s="19">
        <f t="shared" si="9"/>
        <v>856</v>
      </c>
      <c r="O16" s="19">
        <f t="shared" si="9"/>
        <v>979</v>
      </c>
      <c r="P16" s="19">
        <f t="shared" si="9"/>
        <v>1013</v>
      </c>
      <c r="Q16" s="19">
        <f t="shared" si="9"/>
        <v>1017</v>
      </c>
      <c r="R16" s="19">
        <f t="shared" si="9"/>
        <v>939</v>
      </c>
      <c r="S16" s="19">
        <f t="shared" si="9"/>
        <v>1044</v>
      </c>
      <c r="T16" s="19">
        <f t="shared" si="9"/>
        <v>979</v>
      </c>
      <c r="U16" s="19">
        <f t="shared" si="9"/>
        <v>951</v>
      </c>
      <c r="V16" s="19">
        <f t="shared" si="9"/>
        <v>1007</v>
      </c>
      <c r="W16" s="19">
        <f t="shared" si="9"/>
        <v>1000</v>
      </c>
      <c r="X16" s="19">
        <f t="shared" si="9"/>
        <v>1067</v>
      </c>
      <c r="Y16" s="19">
        <f t="shared" si="9"/>
        <v>1104</v>
      </c>
      <c r="Z16" s="19">
        <f t="shared" si="9"/>
        <v>1027</v>
      </c>
      <c r="AA16" s="19">
        <f t="shared" si="9"/>
        <v>975</v>
      </c>
      <c r="AB16" s="19">
        <f t="shared" si="9"/>
        <v>1043</v>
      </c>
      <c r="AC16" s="19">
        <f t="shared" si="9"/>
        <v>1050</v>
      </c>
      <c r="AD16" s="19">
        <f>SUM(AD18:AD22)+AD24+AD26+AD31+AD36</f>
        <v>1146</v>
      </c>
      <c r="AE16" s="19">
        <f t="shared" ref="AE16:AL16" si="10">SUM(AE18:AE22)+AE24+AE26+AE31+AE36</f>
        <v>1218</v>
      </c>
      <c r="AF16" s="19">
        <f t="shared" si="10"/>
        <v>1250</v>
      </c>
      <c r="AG16" s="19">
        <f t="shared" si="10"/>
        <v>1338</v>
      </c>
      <c r="AH16" s="19">
        <f t="shared" si="10"/>
        <v>1385</v>
      </c>
      <c r="AI16" s="19">
        <f t="shared" si="10"/>
        <v>1350</v>
      </c>
      <c r="AJ16" s="19">
        <f t="shared" si="10"/>
        <v>1348</v>
      </c>
      <c r="AK16" s="19">
        <f t="shared" si="10"/>
        <v>1353</v>
      </c>
      <c r="AL16" s="19">
        <f t="shared" si="10"/>
        <v>1416</v>
      </c>
      <c r="AM16" s="19">
        <f t="shared" ref="AM16:AN16" si="11">SUM(AM18:AM22)+AM24+AM26+AM31+AM36</f>
        <v>1426</v>
      </c>
      <c r="AN16" s="19">
        <f t="shared" si="11"/>
        <v>1466</v>
      </c>
      <c r="AO16" s="20">
        <f t="shared" ref="AO16" si="12">SUM(AO18:AO22)+AO24+AO26+AO31+AO36</f>
        <v>1455</v>
      </c>
    </row>
    <row r="17" spans="2:257" ht="15.95" customHeight="1" x14ac:dyDescent="0.25"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5"/>
      <c r="AH17" s="15"/>
      <c r="AI17" s="15"/>
      <c r="AJ17" s="15"/>
      <c r="AK17" s="15"/>
      <c r="AL17" s="15"/>
      <c r="AM17" s="15"/>
      <c r="AN17" s="15"/>
    </row>
    <row r="18" spans="2:257" s="3" customFormat="1" ht="15.95" customHeight="1" x14ac:dyDescent="0.25">
      <c r="B18" s="26" t="s">
        <v>5</v>
      </c>
      <c r="C18" s="27">
        <f>SUM(C19:C22)</f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v>27</v>
      </c>
      <c r="S18" s="28">
        <v>39</v>
      </c>
      <c r="T18" s="27">
        <v>24</v>
      </c>
      <c r="U18" s="27">
        <v>6</v>
      </c>
      <c r="V18" s="27">
        <v>6</v>
      </c>
      <c r="W18" s="27">
        <v>20</v>
      </c>
      <c r="X18" s="29">
        <v>6</v>
      </c>
      <c r="Y18" s="29">
        <v>15</v>
      </c>
      <c r="Z18" s="29">
        <v>20</v>
      </c>
      <c r="AA18" s="29">
        <v>13</v>
      </c>
      <c r="AB18" s="29">
        <f>4+9</f>
        <v>13</v>
      </c>
      <c r="AC18" s="29">
        <f>6+12</f>
        <v>18</v>
      </c>
      <c r="AD18" s="29">
        <f>7+6</f>
        <v>13</v>
      </c>
      <c r="AE18" s="29">
        <f>5+7</f>
        <v>12</v>
      </c>
      <c r="AF18" s="29">
        <f>3+5</f>
        <v>8</v>
      </c>
      <c r="AG18" s="14">
        <v>6</v>
      </c>
      <c r="AH18" s="14">
        <f>2+4</f>
        <v>6</v>
      </c>
      <c r="AI18" s="14">
        <f>1+4</f>
        <v>5</v>
      </c>
      <c r="AJ18" s="14">
        <f>1+6</f>
        <v>7</v>
      </c>
      <c r="AK18" s="14">
        <f>1+4</f>
        <v>5</v>
      </c>
      <c r="AL18" s="14">
        <f>1+3</f>
        <v>4</v>
      </c>
      <c r="AM18" s="14">
        <f>1+3</f>
        <v>4</v>
      </c>
      <c r="AN18" s="14">
        <f>1+3</f>
        <v>4</v>
      </c>
      <c r="AO18" s="3">
        <v>2</v>
      </c>
      <c r="IW18" s="30"/>
    </row>
    <row r="19" spans="2:257" s="3" customFormat="1" ht="15.95" customHeight="1" x14ac:dyDescent="0.25">
      <c r="B19" s="26" t="s">
        <v>6</v>
      </c>
      <c r="C19" s="27"/>
      <c r="D19" s="27">
        <v>6</v>
      </c>
      <c r="E19" s="27">
        <v>12</v>
      </c>
      <c r="F19" s="27">
        <v>17</v>
      </c>
      <c r="G19" s="27">
        <v>19</v>
      </c>
      <c r="H19" s="27">
        <v>20</v>
      </c>
      <c r="I19" s="27">
        <v>26</v>
      </c>
      <c r="J19" s="27">
        <v>29</v>
      </c>
      <c r="K19" s="27">
        <v>26</v>
      </c>
      <c r="L19" s="27">
        <v>32</v>
      </c>
      <c r="M19" s="27">
        <v>16</v>
      </c>
      <c r="N19" s="27">
        <v>18</v>
      </c>
      <c r="O19" s="27">
        <v>25</v>
      </c>
      <c r="P19" s="27">
        <v>29</v>
      </c>
      <c r="Q19" s="27">
        <v>32</v>
      </c>
      <c r="R19" s="28"/>
      <c r="S19" s="28"/>
      <c r="T19" s="27"/>
      <c r="U19" s="27"/>
      <c r="V19" s="27"/>
      <c r="W19" s="29"/>
      <c r="X19" s="16">
        <v>15</v>
      </c>
      <c r="Y19" s="16"/>
      <c r="Z19" s="29"/>
      <c r="AA19" s="29"/>
      <c r="AB19" s="29"/>
      <c r="AC19" s="29"/>
      <c r="AD19" s="29"/>
      <c r="AE19" s="29"/>
      <c r="AF19" s="29"/>
      <c r="AG19" s="14"/>
      <c r="AH19" s="14"/>
      <c r="AI19" s="14"/>
      <c r="AJ19" s="14"/>
      <c r="AK19" s="14"/>
      <c r="AL19" s="14"/>
      <c r="AM19" s="14"/>
      <c r="AN19" s="14"/>
      <c r="IW19" s="30"/>
    </row>
    <row r="20" spans="2:257" s="3" customFormat="1" ht="15.95" customHeight="1" x14ac:dyDescent="0.25">
      <c r="B20" s="26" t="s">
        <v>7</v>
      </c>
      <c r="C20" s="27"/>
      <c r="D20" s="27">
        <v>4</v>
      </c>
      <c r="E20" s="27">
        <v>6</v>
      </c>
      <c r="F20" s="27">
        <v>7</v>
      </c>
      <c r="G20" s="27">
        <v>7</v>
      </c>
      <c r="H20" s="27">
        <v>6</v>
      </c>
      <c r="I20" s="27"/>
      <c r="J20" s="27"/>
      <c r="K20" s="27"/>
      <c r="L20" s="27">
        <v>6</v>
      </c>
      <c r="M20" s="27">
        <v>4</v>
      </c>
      <c r="N20" s="27">
        <v>3</v>
      </c>
      <c r="O20" s="27">
        <v>2</v>
      </c>
      <c r="P20" s="27"/>
      <c r="Q20" s="27"/>
      <c r="R20" s="28"/>
      <c r="S20" s="28"/>
      <c r="T20" s="27"/>
      <c r="U20" s="27"/>
      <c r="V20" s="27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14"/>
      <c r="AH20" s="14"/>
      <c r="AI20" s="14"/>
      <c r="AJ20" s="14"/>
      <c r="AK20" s="14"/>
      <c r="AL20" s="14"/>
      <c r="AM20" s="14"/>
      <c r="AN20" s="14"/>
      <c r="IW20" s="30"/>
    </row>
    <row r="21" spans="2:257" s="3" customFormat="1" ht="15.95" customHeight="1" x14ac:dyDescent="0.25">
      <c r="B21" s="26" t="s">
        <v>8</v>
      </c>
      <c r="C21" s="27"/>
      <c r="D21" s="27">
        <v>3</v>
      </c>
      <c r="E21" s="27">
        <v>4</v>
      </c>
      <c r="F21" s="27">
        <v>5</v>
      </c>
      <c r="G21" s="27">
        <v>3</v>
      </c>
      <c r="H21" s="27"/>
      <c r="I21" s="27"/>
      <c r="J21" s="27"/>
      <c r="K21" s="27"/>
      <c r="L21" s="27">
        <v>4</v>
      </c>
      <c r="M21" s="27">
        <v>4</v>
      </c>
      <c r="N21" s="27">
        <v>2</v>
      </c>
      <c r="O21" s="27"/>
      <c r="P21" s="27"/>
      <c r="Q21" s="27"/>
      <c r="R21" s="28"/>
      <c r="S21" s="28"/>
      <c r="T21" s="27"/>
      <c r="U21" s="27"/>
      <c r="V21" s="27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14"/>
      <c r="AH21" s="14"/>
      <c r="AI21" s="14"/>
      <c r="AJ21" s="14"/>
      <c r="AK21" s="14"/>
      <c r="AL21" s="14"/>
      <c r="AM21" s="14"/>
      <c r="AN21" s="14"/>
      <c r="IW21" s="30"/>
    </row>
    <row r="22" spans="2:257" s="3" customFormat="1" ht="15.95" customHeight="1" x14ac:dyDescent="0.25">
      <c r="B22" s="26" t="s">
        <v>9</v>
      </c>
      <c r="C22" s="27"/>
      <c r="D22" s="27">
        <v>2</v>
      </c>
      <c r="E22" s="27">
        <v>2</v>
      </c>
      <c r="F22" s="27">
        <v>1</v>
      </c>
      <c r="G22" s="27"/>
      <c r="H22" s="27">
        <v>6</v>
      </c>
      <c r="I22" s="27"/>
      <c r="J22" s="27"/>
      <c r="K22" s="27"/>
      <c r="L22" s="27">
        <v>6</v>
      </c>
      <c r="M22" s="27"/>
      <c r="N22" s="27"/>
      <c r="O22" s="27"/>
      <c r="P22" s="27"/>
      <c r="Q22" s="27"/>
      <c r="R22" s="28"/>
      <c r="S22" s="28"/>
      <c r="T22" s="27"/>
      <c r="U22" s="27"/>
      <c r="V22" s="27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14"/>
      <c r="AH22" s="14"/>
      <c r="AI22" s="14"/>
      <c r="AJ22" s="14"/>
      <c r="AK22" s="14"/>
      <c r="AL22" s="14"/>
      <c r="AM22" s="14"/>
      <c r="AN22" s="14"/>
      <c r="IW22" s="30"/>
    </row>
    <row r="23" spans="2:257" ht="15.95" customHeight="1" x14ac:dyDescent="0.25"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8"/>
      <c r="S23" s="28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2:257" ht="15.95" customHeight="1" x14ac:dyDescent="0.25">
      <c r="B24" s="26" t="s">
        <v>10</v>
      </c>
      <c r="C24" s="27">
        <v>144</v>
      </c>
      <c r="D24" s="27">
        <v>116</v>
      </c>
      <c r="E24" s="27">
        <v>150</v>
      </c>
      <c r="F24" s="27">
        <v>141</v>
      </c>
      <c r="G24" s="27">
        <v>164</v>
      </c>
      <c r="H24" s="27">
        <v>175</v>
      </c>
      <c r="I24" s="27">
        <v>230</v>
      </c>
      <c r="J24" s="27">
        <v>259</v>
      </c>
      <c r="K24" s="27">
        <v>253</v>
      </c>
      <c r="L24" s="27">
        <v>203</v>
      </c>
      <c r="M24" s="27">
        <v>204</v>
      </c>
      <c r="N24" s="27">
        <v>277</v>
      </c>
      <c r="O24" s="27">
        <v>277</v>
      </c>
      <c r="P24" s="27">
        <v>285</v>
      </c>
      <c r="Q24" s="27">
        <v>310</v>
      </c>
      <c r="R24" s="28">
        <v>249</v>
      </c>
      <c r="S24" s="28">
        <v>280</v>
      </c>
      <c r="T24" s="27">
        <v>249</v>
      </c>
      <c r="U24" s="27">
        <v>275</v>
      </c>
      <c r="V24" s="27">
        <v>283</v>
      </c>
      <c r="W24" s="27">
        <v>236</v>
      </c>
      <c r="X24" s="29">
        <v>259</v>
      </c>
      <c r="Y24" s="29">
        <v>260</v>
      </c>
      <c r="Z24" s="29">
        <v>229</v>
      </c>
      <c r="AA24" s="29">
        <v>235</v>
      </c>
      <c r="AB24" s="29">
        <f>59+186</f>
        <v>245</v>
      </c>
      <c r="AC24" s="29">
        <f>62+191</f>
        <v>253</v>
      </c>
      <c r="AD24" s="29">
        <v>270</v>
      </c>
      <c r="AE24" s="29">
        <f>220+88</f>
        <v>308</v>
      </c>
      <c r="AF24" s="29">
        <f>243+118</f>
        <v>361</v>
      </c>
      <c r="AG24" s="29">
        <v>383</v>
      </c>
      <c r="AH24" s="29">
        <f>290+140</f>
        <v>430</v>
      </c>
      <c r="AI24" s="29">
        <f>288+144</f>
        <v>432</v>
      </c>
      <c r="AJ24" s="29">
        <f>270+152</f>
        <v>422</v>
      </c>
      <c r="AK24" s="29">
        <f>274+158</f>
        <v>432</v>
      </c>
      <c r="AL24" s="29">
        <f>284+201</f>
        <v>485</v>
      </c>
      <c r="AM24" s="29">
        <f>297+220</f>
        <v>517</v>
      </c>
      <c r="AN24" s="29">
        <f>321+227</f>
        <v>548</v>
      </c>
      <c r="AO24" s="31">
        <v>572</v>
      </c>
    </row>
    <row r="25" spans="2:257" ht="15.95" customHeight="1" x14ac:dyDescent="0.25"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8"/>
      <c r="S25" s="28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5"/>
      <c r="AH25" s="15"/>
      <c r="AI25" s="15"/>
      <c r="AJ25" s="15"/>
      <c r="AK25" s="15"/>
      <c r="AL25" s="15"/>
      <c r="AM25" s="15"/>
      <c r="AN25" s="15"/>
    </row>
    <row r="26" spans="2:257" ht="15.95" customHeight="1" x14ac:dyDescent="0.25">
      <c r="B26" s="26" t="s">
        <v>11</v>
      </c>
      <c r="C26" s="27">
        <f t="shared" ref="C26:AD26" si="13">SUM(C27:C29)</f>
        <v>38</v>
      </c>
      <c r="D26" s="27">
        <f t="shared" si="13"/>
        <v>25</v>
      </c>
      <c r="E26" s="27">
        <f t="shared" si="13"/>
        <v>240</v>
      </c>
      <c r="F26" s="27">
        <f t="shared" si="13"/>
        <v>283</v>
      </c>
      <c r="G26" s="27">
        <f t="shared" si="13"/>
        <v>305</v>
      </c>
      <c r="H26" s="27">
        <f t="shared" si="13"/>
        <v>353</v>
      </c>
      <c r="I26" s="27">
        <f t="shared" si="13"/>
        <v>364</v>
      </c>
      <c r="J26" s="27">
        <f t="shared" si="13"/>
        <v>395</v>
      </c>
      <c r="K26" s="27">
        <f t="shared" si="13"/>
        <v>398</v>
      </c>
      <c r="L26" s="27">
        <f t="shared" si="13"/>
        <v>374</v>
      </c>
      <c r="M26" s="27">
        <f t="shared" si="13"/>
        <v>406</v>
      </c>
      <c r="N26" s="27">
        <f t="shared" si="13"/>
        <v>394</v>
      </c>
      <c r="O26" s="27">
        <f t="shared" si="13"/>
        <v>469</v>
      </c>
      <c r="P26" s="27">
        <f t="shared" si="13"/>
        <v>502</v>
      </c>
      <c r="Q26" s="27">
        <f t="shared" si="13"/>
        <v>487</v>
      </c>
      <c r="R26" s="28">
        <f t="shared" si="13"/>
        <v>525</v>
      </c>
      <c r="S26" s="28">
        <f t="shared" si="13"/>
        <v>591</v>
      </c>
      <c r="T26" s="29">
        <f t="shared" si="13"/>
        <v>591</v>
      </c>
      <c r="U26" s="29">
        <f t="shared" si="13"/>
        <v>577</v>
      </c>
      <c r="V26" s="29">
        <f t="shared" si="13"/>
        <v>626</v>
      </c>
      <c r="W26" s="29">
        <f t="shared" si="13"/>
        <v>667</v>
      </c>
      <c r="X26" s="29">
        <f t="shared" si="13"/>
        <v>719</v>
      </c>
      <c r="Y26" s="29">
        <f t="shared" si="13"/>
        <v>766</v>
      </c>
      <c r="Z26" s="29">
        <f t="shared" si="13"/>
        <v>738</v>
      </c>
      <c r="AA26" s="29">
        <f t="shared" si="13"/>
        <v>691</v>
      </c>
      <c r="AB26" s="29">
        <f t="shared" si="13"/>
        <v>738</v>
      </c>
      <c r="AC26" s="29">
        <f t="shared" si="13"/>
        <v>742</v>
      </c>
      <c r="AD26" s="29">
        <f t="shared" si="13"/>
        <v>820</v>
      </c>
      <c r="AE26" s="29">
        <f t="shared" ref="AE26:AL26" si="14">SUM(AE27:AE29)</f>
        <v>862</v>
      </c>
      <c r="AF26" s="29">
        <f t="shared" si="14"/>
        <v>847</v>
      </c>
      <c r="AG26" s="29">
        <f t="shared" si="14"/>
        <v>908</v>
      </c>
      <c r="AH26" s="29">
        <f t="shared" si="14"/>
        <v>917</v>
      </c>
      <c r="AI26" s="29">
        <f t="shared" si="14"/>
        <v>888</v>
      </c>
      <c r="AJ26" s="29">
        <f t="shared" si="14"/>
        <v>881</v>
      </c>
      <c r="AK26" s="29">
        <f t="shared" si="14"/>
        <v>881</v>
      </c>
      <c r="AL26" s="29">
        <f t="shared" si="14"/>
        <v>893</v>
      </c>
      <c r="AM26" s="29">
        <f t="shared" ref="AM26:AN26" si="15">SUM(AM27:AM29)</f>
        <v>876</v>
      </c>
      <c r="AN26" s="29">
        <f t="shared" si="15"/>
        <v>871</v>
      </c>
      <c r="AO26" s="31">
        <f t="shared" ref="AO26" si="16">SUM(AO27:AO29)</f>
        <v>847</v>
      </c>
    </row>
    <row r="27" spans="2:257" ht="15.95" customHeight="1" x14ac:dyDescent="0.25">
      <c r="B27" s="32" t="s">
        <v>12</v>
      </c>
      <c r="C27" s="33">
        <v>6</v>
      </c>
      <c r="D27" s="33">
        <v>8</v>
      </c>
      <c r="E27" s="33">
        <v>35</v>
      </c>
      <c r="F27" s="33">
        <v>66</v>
      </c>
      <c r="G27" s="33">
        <v>74</v>
      </c>
      <c r="H27" s="33">
        <v>72</v>
      </c>
      <c r="I27" s="33">
        <v>98</v>
      </c>
      <c r="J27" s="33">
        <v>96</v>
      </c>
      <c r="K27" s="33">
        <v>89</v>
      </c>
      <c r="L27" s="33">
        <v>78</v>
      </c>
      <c r="M27" s="33">
        <v>72</v>
      </c>
      <c r="N27" s="33">
        <v>72</v>
      </c>
      <c r="O27" s="33">
        <v>78</v>
      </c>
      <c r="P27" s="33">
        <v>79</v>
      </c>
      <c r="Q27" s="33">
        <v>74</v>
      </c>
      <c r="R27" s="34">
        <v>49</v>
      </c>
      <c r="S27" s="34">
        <v>54</v>
      </c>
      <c r="T27" s="33">
        <v>54</v>
      </c>
      <c r="U27" s="33">
        <v>59</v>
      </c>
      <c r="V27" s="33">
        <v>65</v>
      </c>
      <c r="W27" s="35">
        <v>72</v>
      </c>
      <c r="X27" s="24">
        <v>64</v>
      </c>
      <c r="Y27" s="24">
        <v>68</v>
      </c>
      <c r="Z27" s="35">
        <v>65</v>
      </c>
      <c r="AA27" s="35">
        <v>63</v>
      </c>
      <c r="AB27" s="35">
        <f>37+30</f>
        <v>67</v>
      </c>
      <c r="AC27" s="35">
        <f>40+29</f>
        <v>69</v>
      </c>
      <c r="AD27" s="35">
        <f>44+32</f>
        <v>76</v>
      </c>
      <c r="AE27" s="35">
        <f>38+38</f>
        <v>76</v>
      </c>
      <c r="AF27" s="35">
        <f>38+43</f>
        <v>81</v>
      </c>
      <c r="AG27" s="15">
        <v>91</v>
      </c>
      <c r="AH27" s="15">
        <f>45+42</f>
        <v>87</v>
      </c>
      <c r="AI27" s="15">
        <f>43+46</f>
        <v>89</v>
      </c>
      <c r="AJ27" s="15">
        <f>37+42</f>
        <v>79</v>
      </c>
      <c r="AK27" s="15">
        <f>38+41</f>
        <v>79</v>
      </c>
      <c r="AL27" s="15">
        <f>38+45</f>
        <v>83</v>
      </c>
      <c r="AM27" s="15">
        <f>44+47</f>
        <v>91</v>
      </c>
      <c r="AN27" s="15">
        <f>43+49</f>
        <v>92</v>
      </c>
      <c r="AO27" s="1">
        <v>88</v>
      </c>
    </row>
    <row r="28" spans="2:257" ht="15.95" customHeight="1" x14ac:dyDescent="0.25">
      <c r="B28" s="32" t="s">
        <v>13</v>
      </c>
      <c r="C28" s="33">
        <v>12</v>
      </c>
      <c r="D28" s="33">
        <v>7</v>
      </c>
      <c r="E28" s="33">
        <v>35</v>
      </c>
      <c r="F28" s="33">
        <v>45</v>
      </c>
      <c r="G28" s="33">
        <v>60</v>
      </c>
      <c r="H28" s="33">
        <v>81</v>
      </c>
      <c r="I28" s="33">
        <v>74</v>
      </c>
      <c r="J28" s="33">
        <v>71</v>
      </c>
      <c r="K28" s="33">
        <v>56</v>
      </c>
      <c r="L28" s="33">
        <v>49</v>
      </c>
      <c r="M28" s="33">
        <v>45</v>
      </c>
      <c r="N28" s="33">
        <v>23</v>
      </c>
      <c r="O28" s="33">
        <v>21</v>
      </c>
      <c r="P28" s="33">
        <v>22</v>
      </c>
      <c r="Q28" s="33">
        <v>20</v>
      </c>
      <c r="R28" s="34">
        <v>30</v>
      </c>
      <c r="S28" s="34">
        <v>22</v>
      </c>
      <c r="T28" s="33">
        <v>32</v>
      </c>
      <c r="U28" s="33">
        <v>33</v>
      </c>
      <c r="V28" s="33">
        <v>26</v>
      </c>
      <c r="W28" s="35">
        <v>25</v>
      </c>
      <c r="X28" s="35">
        <v>31</v>
      </c>
      <c r="Y28" s="35">
        <v>35</v>
      </c>
      <c r="Z28" s="35">
        <v>27</v>
      </c>
      <c r="AA28" s="35">
        <v>25</v>
      </c>
      <c r="AB28" s="35">
        <f>14+8</f>
        <v>22</v>
      </c>
      <c r="AC28" s="35">
        <f>10+16</f>
        <v>26</v>
      </c>
      <c r="AD28" s="35">
        <f>16+7</f>
        <v>23</v>
      </c>
      <c r="AE28" s="35">
        <f>15+8</f>
        <v>23</v>
      </c>
      <c r="AF28" s="35">
        <f>3+9</f>
        <v>12</v>
      </c>
      <c r="AG28" s="15">
        <v>13</v>
      </c>
      <c r="AH28" s="15">
        <f>4+8</f>
        <v>12</v>
      </c>
      <c r="AI28" s="15">
        <f>6+9</f>
        <v>15</v>
      </c>
      <c r="AJ28" s="15">
        <f>6+8</f>
        <v>14</v>
      </c>
      <c r="AK28" s="15">
        <f>3+8</f>
        <v>11</v>
      </c>
      <c r="AL28" s="15">
        <f>6+9</f>
        <v>15</v>
      </c>
      <c r="AM28" s="15">
        <f>7+9</f>
        <v>16</v>
      </c>
      <c r="AN28" s="15">
        <f>7+10</f>
        <v>17</v>
      </c>
      <c r="AO28" s="1">
        <v>16</v>
      </c>
    </row>
    <row r="29" spans="2:257" ht="15.95" customHeight="1" x14ac:dyDescent="0.25">
      <c r="B29" s="32" t="s">
        <v>14</v>
      </c>
      <c r="C29" s="33">
        <v>20</v>
      </c>
      <c r="D29" s="33">
        <v>10</v>
      </c>
      <c r="E29" s="33">
        <v>170</v>
      </c>
      <c r="F29" s="33">
        <v>172</v>
      </c>
      <c r="G29" s="33">
        <v>171</v>
      </c>
      <c r="H29" s="33">
        <v>200</v>
      </c>
      <c r="I29" s="33">
        <v>192</v>
      </c>
      <c r="J29" s="33">
        <v>228</v>
      </c>
      <c r="K29" s="33">
        <v>253</v>
      </c>
      <c r="L29" s="33">
        <v>247</v>
      </c>
      <c r="M29" s="33">
        <v>289</v>
      </c>
      <c r="N29" s="33">
        <v>299</v>
      </c>
      <c r="O29" s="33">
        <v>370</v>
      </c>
      <c r="P29" s="33">
        <v>401</v>
      </c>
      <c r="Q29" s="33">
        <v>393</v>
      </c>
      <c r="R29" s="34">
        <v>446</v>
      </c>
      <c r="S29" s="34">
        <v>515</v>
      </c>
      <c r="T29" s="33">
        <v>505</v>
      </c>
      <c r="U29" s="33">
        <v>485</v>
      </c>
      <c r="V29" s="33">
        <v>535</v>
      </c>
      <c r="W29" s="35">
        <v>570</v>
      </c>
      <c r="X29" s="35">
        <v>624</v>
      </c>
      <c r="Y29" s="35">
        <v>663</v>
      </c>
      <c r="Z29" s="35">
        <v>646</v>
      </c>
      <c r="AA29" s="35">
        <v>603</v>
      </c>
      <c r="AB29" s="35">
        <f>413+236</f>
        <v>649</v>
      </c>
      <c r="AC29" s="35">
        <f>408+239</f>
        <v>647</v>
      </c>
      <c r="AD29" s="35">
        <f>266+455</f>
        <v>721</v>
      </c>
      <c r="AE29" s="35">
        <f>494+269</f>
        <v>763</v>
      </c>
      <c r="AF29" s="35">
        <f>274+480</f>
        <v>754</v>
      </c>
      <c r="AG29" s="15">
        <v>804</v>
      </c>
      <c r="AH29" s="15">
        <f>278+540</f>
        <v>818</v>
      </c>
      <c r="AI29" s="15">
        <f>272+512</f>
        <v>784</v>
      </c>
      <c r="AJ29" s="15">
        <f>277+511</f>
        <v>788</v>
      </c>
      <c r="AK29" s="15">
        <f>284+507</f>
        <v>791</v>
      </c>
      <c r="AL29" s="15">
        <f>307+488</f>
        <v>795</v>
      </c>
      <c r="AM29" s="15">
        <f>299+470</f>
        <v>769</v>
      </c>
      <c r="AN29" s="15">
        <f>297+465</f>
        <v>762</v>
      </c>
      <c r="AO29" s="1">
        <v>743</v>
      </c>
    </row>
    <row r="30" spans="2:257" ht="15.95" customHeight="1" x14ac:dyDescent="0.2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8"/>
      <c r="S30" s="2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5"/>
      <c r="AH30" s="15"/>
      <c r="AI30" s="15"/>
      <c r="AJ30" s="15"/>
      <c r="AK30" s="15"/>
      <c r="AL30" s="15"/>
      <c r="AM30" s="15"/>
      <c r="AN30" s="15"/>
    </row>
    <row r="31" spans="2:257" ht="15.95" customHeight="1" x14ac:dyDescent="0.25">
      <c r="B31" s="26" t="s">
        <v>11</v>
      </c>
      <c r="C31" s="27">
        <f t="shared" ref="C31:AD31" si="17">SUM(C32:C34)</f>
        <v>98</v>
      </c>
      <c r="D31" s="27">
        <f t="shared" si="17"/>
        <v>94</v>
      </c>
      <c r="E31" s="27">
        <f t="shared" si="17"/>
        <v>153</v>
      </c>
      <c r="F31" s="27">
        <f t="shared" si="17"/>
        <v>190</v>
      </c>
      <c r="G31" s="27">
        <f t="shared" si="17"/>
        <v>201</v>
      </c>
      <c r="H31" s="27">
        <f t="shared" si="17"/>
        <v>172</v>
      </c>
      <c r="I31" s="27">
        <f t="shared" si="17"/>
        <v>181</v>
      </c>
      <c r="J31" s="27">
        <f t="shared" si="17"/>
        <v>187</v>
      </c>
      <c r="K31" s="27">
        <f t="shared" si="17"/>
        <v>241</v>
      </c>
      <c r="L31" s="27">
        <f t="shared" si="17"/>
        <v>182</v>
      </c>
      <c r="M31" s="27">
        <f t="shared" si="17"/>
        <v>213</v>
      </c>
      <c r="N31" s="27">
        <f t="shared" si="17"/>
        <v>162</v>
      </c>
      <c r="O31" s="27">
        <f t="shared" si="17"/>
        <v>206</v>
      </c>
      <c r="P31" s="27">
        <f t="shared" si="17"/>
        <v>197</v>
      </c>
      <c r="Q31" s="27">
        <f t="shared" si="17"/>
        <v>188</v>
      </c>
      <c r="R31" s="28">
        <f t="shared" si="17"/>
        <v>138</v>
      </c>
      <c r="S31" s="28">
        <f t="shared" si="17"/>
        <v>134</v>
      </c>
      <c r="T31" s="29">
        <f t="shared" si="17"/>
        <v>115</v>
      </c>
      <c r="U31" s="29">
        <f t="shared" si="17"/>
        <v>93</v>
      </c>
      <c r="V31" s="29">
        <f t="shared" si="17"/>
        <v>92</v>
      </c>
      <c r="W31" s="29">
        <f t="shared" si="17"/>
        <v>77</v>
      </c>
      <c r="X31" s="29">
        <f t="shared" si="17"/>
        <v>68</v>
      </c>
      <c r="Y31" s="29">
        <f t="shared" si="17"/>
        <v>63</v>
      </c>
      <c r="Z31" s="29">
        <f t="shared" si="17"/>
        <v>40</v>
      </c>
      <c r="AA31" s="29">
        <f t="shared" si="17"/>
        <v>36</v>
      </c>
      <c r="AB31" s="29">
        <f t="shared" si="17"/>
        <v>47</v>
      </c>
      <c r="AC31" s="29">
        <f t="shared" si="17"/>
        <v>37</v>
      </c>
      <c r="AD31" s="29">
        <f t="shared" si="17"/>
        <v>43</v>
      </c>
      <c r="AE31" s="29">
        <f t="shared" ref="AE31:AL31" si="18">SUM(AE32:AE34)</f>
        <v>36</v>
      </c>
      <c r="AF31" s="29">
        <f t="shared" si="18"/>
        <v>34</v>
      </c>
      <c r="AG31" s="29">
        <f t="shared" si="18"/>
        <v>41</v>
      </c>
      <c r="AH31" s="29">
        <f t="shared" si="18"/>
        <v>32</v>
      </c>
      <c r="AI31" s="29">
        <f t="shared" si="18"/>
        <v>25</v>
      </c>
      <c r="AJ31" s="29">
        <f t="shared" si="18"/>
        <v>38</v>
      </c>
      <c r="AK31" s="29">
        <f t="shared" si="18"/>
        <v>35</v>
      </c>
      <c r="AL31" s="29">
        <f t="shared" si="18"/>
        <v>34</v>
      </c>
      <c r="AM31" s="29">
        <f t="shared" ref="AM31:AN31" si="19">SUM(AM32:AM34)</f>
        <v>29</v>
      </c>
      <c r="AN31" s="29">
        <f t="shared" si="19"/>
        <v>43</v>
      </c>
      <c r="AO31" s="31">
        <f t="shared" ref="AO31" si="20">SUM(AO32:AO34)</f>
        <v>34</v>
      </c>
    </row>
    <row r="32" spans="2:257" ht="15.95" customHeight="1" x14ac:dyDescent="0.25">
      <c r="B32" s="32" t="s">
        <v>15</v>
      </c>
      <c r="C32" s="33">
        <v>30</v>
      </c>
      <c r="D32" s="33">
        <v>35</v>
      </c>
      <c r="E32" s="33">
        <v>60</v>
      </c>
      <c r="F32" s="33">
        <v>72</v>
      </c>
      <c r="G32" s="33">
        <v>76</v>
      </c>
      <c r="H32" s="33">
        <v>68</v>
      </c>
      <c r="I32" s="33">
        <v>81</v>
      </c>
      <c r="J32" s="33">
        <v>84</v>
      </c>
      <c r="K32" s="33">
        <v>93</v>
      </c>
      <c r="L32" s="33">
        <v>68</v>
      </c>
      <c r="M32" s="33">
        <v>70</v>
      </c>
      <c r="N32" s="33">
        <v>78</v>
      </c>
      <c r="O32" s="33">
        <v>92</v>
      </c>
      <c r="P32" s="33">
        <v>75</v>
      </c>
      <c r="Q32" s="33">
        <v>83</v>
      </c>
      <c r="R32" s="34">
        <v>73</v>
      </c>
      <c r="S32" s="34">
        <v>78</v>
      </c>
      <c r="T32" s="33">
        <v>68</v>
      </c>
      <c r="U32" s="33">
        <v>61</v>
      </c>
      <c r="V32" s="33">
        <v>45</v>
      </c>
      <c r="W32" s="24">
        <v>35</v>
      </c>
      <c r="X32" s="35">
        <v>33</v>
      </c>
      <c r="Y32" s="35">
        <v>30</v>
      </c>
      <c r="Z32" s="35">
        <v>25</v>
      </c>
      <c r="AA32" s="24">
        <v>22</v>
      </c>
      <c r="AB32" s="24">
        <f>14+2</f>
        <v>16</v>
      </c>
      <c r="AC32" s="24">
        <f>2+12</f>
        <v>14</v>
      </c>
      <c r="AD32" s="24">
        <f>13+3</f>
        <v>16</v>
      </c>
      <c r="AE32" s="24">
        <f>14+4</f>
        <v>18</v>
      </c>
      <c r="AF32" s="24">
        <f>4+12</f>
        <v>16</v>
      </c>
      <c r="AG32" s="15">
        <v>17</v>
      </c>
      <c r="AH32" s="15">
        <f>6+6</f>
        <v>12</v>
      </c>
      <c r="AI32" s="15">
        <f>5+8</f>
        <v>13</v>
      </c>
      <c r="AJ32" s="15">
        <f>3+9</f>
        <v>12</v>
      </c>
      <c r="AK32" s="15">
        <f>2+7</f>
        <v>9</v>
      </c>
      <c r="AL32" s="15">
        <f>1+4</f>
        <v>5</v>
      </c>
      <c r="AM32" s="15">
        <v>5</v>
      </c>
      <c r="AN32" s="15">
        <v>4</v>
      </c>
      <c r="AO32" s="1">
        <v>4</v>
      </c>
    </row>
    <row r="33" spans="2:257" ht="15.95" customHeight="1" x14ac:dyDescent="0.25">
      <c r="B33" s="32" t="s">
        <v>16</v>
      </c>
      <c r="C33" s="33">
        <v>22</v>
      </c>
      <c r="D33" s="33">
        <v>18</v>
      </c>
      <c r="E33" s="33">
        <v>30</v>
      </c>
      <c r="F33" s="33">
        <v>44</v>
      </c>
      <c r="G33" s="33">
        <v>54</v>
      </c>
      <c r="H33" s="33">
        <v>46</v>
      </c>
      <c r="I33" s="33">
        <v>57</v>
      </c>
      <c r="J33" s="33">
        <v>47</v>
      </c>
      <c r="K33" s="33">
        <v>44</v>
      </c>
      <c r="L33" s="33">
        <v>33</v>
      </c>
      <c r="M33" s="33">
        <v>37</v>
      </c>
      <c r="N33" s="33">
        <v>24</v>
      </c>
      <c r="O33" s="33">
        <v>21</v>
      </c>
      <c r="P33" s="33">
        <v>20</v>
      </c>
      <c r="Q33" s="33">
        <v>14</v>
      </c>
      <c r="R33" s="34">
        <v>22</v>
      </c>
      <c r="S33" s="34">
        <v>14</v>
      </c>
      <c r="T33" s="33">
        <v>11</v>
      </c>
      <c r="U33" s="33">
        <v>3</v>
      </c>
      <c r="V33" s="33">
        <v>6</v>
      </c>
      <c r="W33" s="35">
        <v>5</v>
      </c>
      <c r="X33" s="35">
        <v>6</v>
      </c>
      <c r="Y33" s="24">
        <v>3</v>
      </c>
      <c r="Z33" s="24">
        <v>1</v>
      </c>
      <c r="AA33" s="24"/>
      <c r="AB33" s="24">
        <v>1</v>
      </c>
      <c r="AC33" s="24">
        <v>1</v>
      </c>
      <c r="AD33" s="24"/>
      <c r="AE33" s="24"/>
      <c r="AF33" s="24"/>
      <c r="AG33" s="15"/>
      <c r="AH33" s="15"/>
      <c r="AI33" s="15"/>
      <c r="AJ33" s="15"/>
      <c r="AK33" s="15"/>
      <c r="AL33" s="15"/>
      <c r="AM33" s="15"/>
      <c r="AN33" s="15"/>
    </row>
    <row r="34" spans="2:257" ht="15.95" customHeight="1" x14ac:dyDescent="0.25">
      <c r="B34" s="32" t="s">
        <v>17</v>
      </c>
      <c r="C34" s="33">
        <v>46</v>
      </c>
      <c r="D34" s="33">
        <v>41</v>
      </c>
      <c r="E34" s="33">
        <v>63</v>
      </c>
      <c r="F34" s="33">
        <v>74</v>
      </c>
      <c r="G34" s="33">
        <v>71</v>
      </c>
      <c r="H34" s="33">
        <v>58</v>
      </c>
      <c r="I34" s="33">
        <v>43</v>
      </c>
      <c r="J34" s="33">
        <v>56</v>
      </c>
      <c r="K34" s="33">
        <v>104</v>
      </c>
      <c r="L34" s="33">
        <v>81</v>
      </c>
      <c r="M34" s="33">
        <v>106</v>
      </c>
      <c r="N34" s="33">
        <v>60</v>
      </c>
      <c r="O34" s="33">
        <v>93</v>
      </c>
      <c r="P34" s="33">
        <v>102</v>
      </c>
      <c r="Q34" s="33">
        <v>91</v>
      </c>
      <c r="R34" s="34">
        <v>43</v>
      </c>
      <c r="S34" s="34">
        <v>42</v>
      </c>
      <c r="T34" s="33">
        <v>36</v>
      </c>
      <c r="U34" s="33">
        <v>29</v>
      </c>
      <c r="V34" s="33">
        <v>41</v>
      </c>
      <c r="W34" s="35">
        <v>37</v>
      </c>
      <c r="X34" s="24">
        <v>29</v>
      </c>
      <c r="Y34" s="35">
        <v>30</v>
      </c>
      <c r="Z34" s="35">
        <v>14</v>
      </c>
      <c r="AA34" s="35">
        <v>14</v>
      </c>
      <c r="AB34" s="35">
        <v>30</v>
      </c>
      <c r="AC34" s="35">
        <v>22</v>
      </c>
      <c r="AD34" s="35">
        <v>27</v>
      </c>
      <c r="AE34" s="35">
        <v>18</v>
      </c>
      <c r="AF34" s="35">
        <f>15+3</f>
        <v>18</v>
      </c>
      <c r="AG34" s="15">
        <v>24</v>
      </c>
      <c r="AH34" s="15">
        <f>20</f>
        <v>20</v>
      </c>
      <c r="AI34" s="15">
        <f>11+1</f>
        <v>12</v>
      </c>
      <c r="AJ34" s="15">
        <f>25+1</f>
        <v>26</v>
      </c>
      <c r="AK34" s="15">
        <v>26</v>
      </c>
      <c r="AL34" s="15">
        <f>29</f>
        <v>29</v>
      </c>
      <c r="AM34" s="15">
        <v>24</v>
      </c>
      <c r="AN34" s="15">
        <f>38+1</f>
        <v>39</v>
      </c>
      <c r="AO34" s="1">
        <v>30</v>
      </c>
    </row>
    <row r="35" spans="2:257" ht="15.95" customHeight="1" x14ac:dyDescent="0.25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28"/>
      <c r="S35" s="28"/>
      <c r="T35" s="33"/>
      <c r="U35" s="33"/>
      <c r="V35" s="33"/>
      <c r="W35" s="35"/>
      <c r="X35" s="24"/>
      <c r="Y35" s="35"/>
      <c r="Z35" s="35"/>
      <c r="AA35" s="35"/>
      <c r="AB35" s="35"/>
      <c r="AC35" s="35"/>
      <c r="AD35" s="35"/>
      <c r="AE35" s="35"/>
      <c r="AF35" s="35"/>
      <c r="AG35" s="15"/>
      <c r="AH35" s="15"/>
      <c r="AI35" s="15"/>
      <c r="AJ35" s="15"/>
      <c r="AK35" s="15"/>
      <c r="AL35" s="15"/>
      <c r="AM35" s="15"/>
      <c r="AN35" s="15"/>
    </row>
    <row r="36" spans="2:257" s="36" customFormat="1" ht="15.95" customHeight="1" x14ac:dyDescent="0.25">
      <c r="B36" s="37" t="s">
        <v>18</v>
      </c>
      <c r="C36" s="19">
        <v>19</v>
      </c>
      <c r="D36" s="19">
        <v>10</v>
      </c>
      <c r="E36" s="22">
        <v>28</v>
      </c>
      <c r="F36" s="22">
        <v>19</v>
      </c>
      <c r="G36" s="22">
        <v>22</v>
      </c>
      <c r="H36" s="22">
        <v>25</v>
      </c>
      <c r="I36" s="22"/>
      <c r="J36" s="22"/>
      <c r="K36" s="22"/>
      <c r="L36" s="22">
        <v>18</v>
      </c>
      <c r="M36" s="22">
        <v>19</v>
      </c>
      <c r="N36" s="22"/>
      <c r="O36" s="22"/>
      <c r="P36" s="22"/>
      <c r="Q36" s="22"/>
      <c r="R36" s="19"/>
      <c r="S36" s="19"/>
      <c r="T36" s="22"/>
      <c r="U36" s="22"/>
      <c r="V36" s="22"/>
      <c r="W36" s="22"/>
      <c r="X36" s="38"/>
      <c r="Y36" s="22"/>
      <c r="Z36" s="22"/>
      <c r="AA36" s="22"/>
      <c r="AB36" s="22"/>
      <c r="AC36" s="22"/>
      <c r="AD36" s="22"/>
      <c r="AE36" s="22"/>
      <c r="AF36" s="22"/>
      <c r="AG36" s="39"/>
      <c r="AH36" s="39"/>
      <c r="AI36" s="39"/>
      <c r="AJ36" s="39"/>
      <c r="AK36" s="39"/>
      <c r="AL36" s="39"/>
      <c r="AM36" s="39"/>
      <c r="AN36" s="39"/>
      <c r="IW36" s="2"/>
    </row>
    <row r="37" spans="2:257" ht="15.95" customHeight="1" x14ac:dyDescent="0.25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8"/>
      <c r="S37" s="2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5"/>
      <c r="AH37" s="15"/>
      <c r="AI37" s="15"/>
      <c r="AJ37" s="15"/>
      <c r="AK37" s="15"/>
      <c r="AL37" s="15"/>
      <c r="AM37" s="15"/>
      <c r="AN37" s="15"/>
    </row>
    <row r="38" spans="2:257" ht="15.95" customHeight="1" x14ac:dyDescent="0.25">
      <c r="B38" s="32" t="s">
        <v>19</v>
      </c>
      <c r="C38" s="33">
        <v>40</v>
      </c>
      <c r="D38" s="33">
        <v>16</v>
      </c>
      <c r="E38" s="33">
        <v>37</v>
      </c>
      <c r="F38" s="33">
        <v>38</v>
      </c>
      <c r="G38" s="33">
        <v>37</v>
      </c>
      <c r="H38" s="33">
        <v>64</v>
      </c>
      <c r="I38" s="33">
        <v>98</v>
      </c>
      <c r="J38" s="33">
        <v>65</v>
      </c>
      <c r="K38" s="33">
        <v>74</v>
      </c>
      <c r="L38" s="33"/>
      <c r="M38" s="33">
        <v>58</v>
      </c>
      <c r="N38" s="33">
        <v>24</v>
      </c>
      <c r="O38" s="33">
        <v>35</v>
      </c>
      <c r="P38" s="33">
        <v>40</v>
      </c>
      <c r="Q38" s="33">
        <v>14</v>
      </c>
      <c r="R38" s="34">
        <v>12</v>
      </c>
      <c r="S38" s="34"/>
      <c r="T38" s="33"/>
      <c r="U38" s="33">
        <v>14</v>
      </c>
      <c r="V38" s="33">
        <v>15</v>
      </c>
      <c r="W38" s="35">
        <v>18</v>
      </c>
      <c r="X38" s="35"/>
      <c r="Y38" s="35"/>
      <c r="Z38" s="35"/>
      <c r="AA38" s="24"/>
      <c r="AB38" s="24"/>
      <c r="AC38" s="24"/>
      <c r="AD38" s="24"/>
      <c r="AE38" s="24"/>
      <c r="AF38" s="24"/>
      <c r="AG38" s="15"/>
      <c r="AH38" s="15"/>
      <c r="AI38" s="15"/>
      <c r="AJ38" s="15"/>
      <c r="AK38" s="15"/>
      <c r="AL38" s="15"/>
      <c r="AM38" s="15"/>
      <c r="AN38" s="15"/>
    </row>
    <row r="39" spans="2:257" ht="12.95" customHeight="1" x14ac:dyDescent="0.2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4"/>
      <c r="T39" s="33"/>
      <c r="U39" s="33"/>
      <c r="V39" s="33"/>
      <c r="W39" s="35"/>
      <c r="X39" s="35"/>
      <c r="Y39" s="35"/>
      <c r="Z39" s="35"/>
      <c r="AA39" s="24"/>
      <c r="AB39" s="24"/>
      <c r="AC39" s="24"/>
      <c r="AD39" s="24"/>
      <c r="AE39" s="24"/>
      <c r="AF39" s="24"/>
      <c r="AG39" s="15"/>
      <c r="AH39" s="15"/>
      <c r="AI39" s="15"/>
      <c r="AJ39" s="15"/>
      <c r="AK39" s="15"/>
      <c r="AL39" s="15"/>
      <c r="AM39" s="15"/>
      <c r="AN39" s="15"/>
    </row>
    <row r="40" spans="2:257" s="40" customFormat="1" ht="28.5" customHeight="1" x14ac:dyDescent="0.25">
      <c r="B40" s="56" t="s">
        <v>25</v>
      </c>
      <c r="C40" s="59">
        <v>386</v>
      </c>
      <c r="D40" s="59">
        <v>422</v>
      </c>
      <c r="E40" s="59">
        <v>449</v>
      </c>
      <c r="F40" s="59">
        <v>637</v>
      </c>
      <c r="G40" s="59">
        <v>663</v>
      </c>
      <c r="H40" s="59">
        <v>696</v>
      </c>
      <c r="I40" s="59">
        <v>688</v>
      </c>
      <c r="J40" s="59">
        <v>673</v>
      </c>
      <c r="K40" s="59">
        <v>660</v>
      </c>
      <c r="L40" s="59">
        <v>655</v>
      </c>
      <c r="M40" s="59">
        <v>655</v>
      </c>
      <c r="N40" s="59">
        <v>736</v>
      </c>
      <c r="O40" s="59">
        <v>832</v>
      </c>
      <c r="P40" s="59">
        <v>775</v>
      </c>
      <c r="Q40" s="59">
        <v>910</v>
      </c>
      <c r="R40" s="57">
        <v>1058</v>
      </c>
      <c r="S40" s="57">
        <v>1086</v>
      </c>
      <c r="T40" s="59">
        <v>1211</v>
      </c>
      <c r="U40" s="59">
        <v>1306</v>
      </c>
      <c r="V40" s="59">
        <v>1275</v>
      </c>
      <c r="W40" s="59">
        <v>1223</v>
      </c>
      <c r="X40" s="59">
        <v>1200</v>
      </c>
      <c r="Y40" s="59">
        <v>1213</v>
      </c>
      <c r="Z40" s="59">
        <v>1229</v>
      </c>
      <c r="AA40" s="60">
        <v>1239</v>
      </c>
      <c r="AB40" s="60">
        <v>1283</v>
      </c>
      <c r="AC40" s="60">
        <v>1272</v>
      </c>
      <c r="AD40" s="60">
        <v>1413</v>
      </c>
      <c r="AE40" s="60">
        <v>1525</v>
      </c>
      <c r="AF40" s="60">
        <v>1620</v>
      </c>
      <c r="AG40" s="60">
        <v>1742</v>
      </c>
      <c r="AH40" s="60">
        <v>1975</v>
      </c>
      <c r="AI40" s="60">
        <v>1878</v>
      </c>
      <c r="AJ40" s="60">
        <v>1852</v>
      </c>
      <c r="AK40" s="60">
        <v>1912</v>
      </c>
      <c r="AL40" s="60">
        <v>1987</v>
      </c>
      <c r="AM40" s="60">
        <v>2026</v>
      </c>
      <c r="AN40" s="60">
        <v>2041</v>
      </c>
      <c r="AO40" s="61">
        <v>2057</v>
      </c>
      <c r="IW40" s="41"/>
    </row>
    <row r="41" spans="2:257" ht="12.95" customHeight="1" x14ac:dyDescent="0.2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34"/>
      <c r="T41" s="33"/>
      <c r="U41" s="33"/>
      <c r="V41" s="33"/>
      <c r="W41" s="35"/>
      <c r="X41" s="35"/>
      <c r="Y41" s="35"/>
      <c r="Z41" s="35"/>
      <c r="AA41" s="24"/>
      <c r="AB41" s="24"/>
      <c r="AC41" s="24"/>
      <c r="AD41" s="24"/>
      <c r="AE41" s="24"/>
      <c r="AF41" s="24"/>
      <c r="AG41" s="15"/>
      <c r="AH41" s="15"/>
      <c r="AI41" s="15"/>
      <c r="AJ41" s="15"/>
      <c r="AK41" s="15"/>
      <c r="AL41" s="15"/>
      <c r="AM41" s="15"/>
      <c r="AN41" s="15"/>
    </row>
    <row r="42" spans="2:257" s="40" customFormat="1" ht="30" customHeight="1" x14ac:dyDescent="0.25">
      <c r="B42" s="56" t="s">
        <v>26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>
        <v>29</v>
      </c>
      <c r="O42" s="59">
        <v>29</v>
      </c>
      <c r="P42" s="59">
        <v>30</v>
      </c>
      <c r="Q42" s="59">
        <v>37</v>
      </c>
      <c r="R42" s="57">
        <v>45</v>
      </c>
      <c r="S42" s="57">
        <v>49</v>
      </c>
      <c r="T42" s="59">
        <v>40</v>
      </c>
      <c r="U42" s="59">
        <v>44</v>
      </c>
      <c r="V42" s="59">
        <v>44</v>
      </c>
      <c r="W42" s="59">
        <v>46</v>
      </c>
      <c r="X42" s="59">
        <v>46</v>
      </c>
      <c r="Y42" s="59">
        <v>48</v>
      </c>
      <c r="Z42" s="59">
        <v>49</v>
      </c>
      <c r="AA42" s="60">
        <v>54</v>
      </c>
      <c r="AB42" s="60">
        <v>47</v>
      </c>
      <c r="AC42" s="60">
        <v>52</v>
      </c>
      <c r="AD42" s="60">
        <v>56</v>
      </c>
      <c r="AE42" s="60">
        <v>66</v>
      </c>
      <c r="AF42" s="60">
        <v>70</v>
      </c>
      <c r="AG42" s="60">
        <v>81</v>
      </c>
      <c r="AH42" s="60">
        <v>80</v>
      </c>
      <c r="AI42" s="60">
        <v>85</v>
      </c>
      <c r="AJ42" s="60">
        <v>104</v>
      </c>
      <c r="AK42" s="60">
        <v>85</v>
      </c>
      <c r="AL42" s="60">
        <v>93</v>
      </c>
      <c r="AM42" s="60">
        <v>111</v>
      </c>
      <c r="AN42" s="60">
        <v>111</v>
      </c>
      <c r="AO42" s="66">
        <v>112</v>
      </c>
      <c r="IW42" s="41"/>
    </row>
    <row r="43" spans="2:257" s="42" customFormat="1" ht="12.95" customHeight="1" x14ac:dyDescent="0.25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45"/>
      <c r="T43" s="44"/>
      <c r="U43" s="44"/>
      <c r="V43" s="44"/>
      <c r="W43" s="46"/>
      <c r="X43" s="46"/>
      <c r="Y43" s="46"/>
      <c r="Z43" s="46"/>
      <c r="AA43" s="47"/>
      <c r="AB43" s="47"/>
      <c r="AC43" s="47"/>
      <c r="AD43" s="47"/>
      <c r="AE43" s="47"/>
      <c r="AF43" s="47"/>
      <c r="AG43" s="48"/>
      <c r="AH43" s="48"/>
      <c r="AI43" s="48"/>
      <c r="AJ43" s="48"/>
      <c r="AK43" s="48"/>
      <c r="AL43" s="48"/>
      <c r="AM43" s="48"/>
      <c r="AN43" s="48"/>
      <c r="AO43" s="49"/>
      <c r="IW43" s="50"/>
    </row>
    <row r="44" spans="2:257" ht="12" customHeight="1" x14ac:dyDescent="0.25">
      <c r="B44" s="51" t="s">
        <v>20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2:257" ht="12" customHeight="1" x14ac:dyDescent="0.25">
      <c r="B45" s="51" t="s">
        <v>21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2:257" ht="12" customHeight="1" x14ac:dyDescent="0.25"/>
  </sheetData>
  <mergeCells count="2">
    <mergeCell ref="B1:AO1"/>
    <mergeCell ref="B2:AO2"/>
  </mergeCells>
  <phoneticPr fontId="1" type="noConversion"/>
  <printOptions horizontalCentered="1"/>
  <pageMargins left="0.59055118110236227" right="0.59055118110236227" top="0.59055118110236227" bottom="0.59055118110236227" header="0.51181102362204722" footer="0.59055118110236227"/>
  <pageSetup scale="40" firstPageNumber="0" orientation="landscape" r:id="rId1"/>
  <headerFooter>
    <oddFooter>&amp;R&amp;"Arial,Normal"&amp;10Universidad Tecnológica de Panamá/DIPLAN/DEI/Compendio Estadístico 1981-2019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Recurso humano 1981-2019</vt:lpstr>
      <vt:lpstr>A_impresión_IM_2</vt:lpstr>
      <vt:lpstr>'Recurso humano 1981-2019'!Área_de_impresión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SANDY CORREA</cp:lastModifiedBy>
  <cp:lastPrinted>2020-03-17T20:46:41Z</cp:lastPrinted>
  <dcterms:created xsi:type="dcterms:W3CDTF">2011-06-03T15:15:15Z</dcterms:created>
  <dcterms:modified xsi:type="dcterms:W3CDTF">2020-03-17T20:47:54Z</dcterms:modified>
</cp:coreProperties>
</file>